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Ex1.xml" ContentType="application/vnd.ms-office.chartex+xml"/>
  <Override PartName="/xl/charts/style5.xml" ContentType="application/vnd.ms-office.chartstyle+xml"/>
  <Override PartName="/xl/charts/colors5.xml" ContentType="application/vnd.ms-office.chartcolorstyle+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daera-annettn\Documents\Biotool\"/>
    </mc:Choice>
  </mc:AlternateContent>
  <xr:revisionPtr revIDLastSave="0" documentId="8_{6B5D236D-EAC7-4F04-A0BD-3A9B431273DF}" xr6:coauthVersionLast="47" xr6:coauthVersionMax="47" xr10:uidLastSave="{00000000-0000-0000-0000-000000000000}"/>
  <bookViews>
    <workbookView xWindow="-120" yWindow="-120" windowWidth="29040" windowHeight="15840" tabRatio="909" xr2:uid="{00000000-000D-0000-FFFF-FFFF00000000}"/>
  </bookViews>
  <sheets>
    <sheet name="Home" sheetId="37" r:id="rId1"/>
    <sheet name="% Habitat Score" sheetId="39" r:id="rId2"/>
    <sheet name="Land Use" sheetId="28" r:id="rId3"/>
    <sheet name="General" sheetId="44" r:id="rId4"/>
    <sheet name="Linear" sheetId="35" r:id="rId5"/>
    <sheet name="Area" sheetId="40" r:id="rId6"/>
    <sheet name="Results" sheetId="36" r:id="rId7"/>
    <sheet name="Diagrams of Results" sheetId="33" r:id="rId8"/>
    <sheet name="Summary of Results" sheetId="43" r:id="rId9"/>
  </sheets>
  <definedNames>
    <definedName name="_xlnm._FilterDatabase" localSheetId="6" hidden="1">Results!$A$28:$G$124</definedName>
    <definedName name="_xlnm._FilterDatabase" localSheetId="8" hidden="1">'Summary of Results'!$C$3:$BH$11</definedName>
    <definedName name="_xlchart.v1.0" hidden="1">'Diagrams of Results'!$N$160:$N$179</definedName>
    <definedName name="_xlchart.v1.1" hidden="1">'Diagrams of Results'!$O$160:$O$179</definedName>
    <definedName name="ArableOptions">'Land Use'!$M$14:$M$16</definedName>
    <definedName name="Grass">'Land Use'!$M$7:$M$10</definedName>
    <definedName name="GrassOptions">'Land Use'!$M$7:$M$9</definedName>
    <definedName name="_xlnm.Print_Area" localSheetId="1">'% Habitat Score'!$C$81:$L$90</definedName>
    <definedName name="_xlnm.Print_Area" localSheetId="7">'Diagrams of Results'!$A$1:$E$191</definedName>
    <definedName name="_xlnm.Print_Area" localSheetId="6">Results!$B$2:$H$23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77" i="33" l="1"/>
  <c r="O176" i="33"/>
  <c r="O175" i="33"/>
  <c r="O174" i="33"/>
  <c r="O173" i="33"/>
  <c r="O172" i="33"/>
  <c r="O167" i="33"/>
  <c r="O171" i="33"/>
  <c r="N171" i="33" s="1"/>
  <c r="O179" i="33"/>
  <c r="C70" i="36" l="1"/>
  <c r="E19" i="36"/>
  <c r="D19" i="36"/>
  <c r="G61" i="36"/>
  <c r="G53" i="36"/>
  <c r="F81" i="36"/>
  <c r="D81" i="36"/>
  <c r="C81" i="36"/>
  <c r="C80" i="36"/>
  <c r="F79" i="36"/>
  <c r="F78" i="36"/>
  <c r="F77" i="36"/>
  <c r="F76" i="36"/>
  <c r="F75" i="36"/>
  <c r="F74" i="36"/>
  <c r="F73" i="36"/>
  <c r="F72" i="36"/>
  <c r="F71" i="36"/>
  <c r="F70" i="36"/>
  <c r="C69" i="36"/>
  <c r="F69" i="36"/>
  <c r="F68" i="36"/>
  <c r="C68" i="36"/>
  <c r="C61" i="36"/>
  <c r="F67" i="36"/>
  <c r="F66" i="36"/>
  <c r="F65" i="36"/>
  <c r="F64" i="36"/>
  <c r="F63" i="36"/>
  <c r="F62" i="36"/>
  <c r="F61" i="36"/>
  <c r="F60" i="36"/>
  <c r="F59" i="36"/>
  <c r="F58" i="36"/>
  <c r="F57" i="36"/>
  <c r="F56" i="36"/>
  <c r="F55" i="36"/>
  <c r="F54" i="36"/>
  <c r="F53" i="36"/>
  <c r="C53" i="36"/>
  <c r="G34" i="44"/>
  <c r="F33" i="44"/>
  <c r="F31" i="44"/>
  <c r="F30" i="44"/>
  <c r="F29" i="44"/>
  <c r="F28" i="44"/>
  <c r="F27" i="44"/>
  <c r="F26" i="44"/>
  <c r="F25" i="44"/>
  <c r="F24" i="44"/>
  <c r="F23" i="44"/>
  <c r="F22" i="44"/>
  <c r="F21" i="44"/>
  <c r="F20" i="44"/>
  <c r="F19" i="44"/>
  <c r="F18" i="44"/>
  <c r="F17" i="44"/>
  <c r="F16" i="44"/>
  <c r="F15" i="44"/>
  <c r="F14" i="44"/>
  <c r="F13" i="44"/>
  <c r="F11" i="44"/>
  <c r="F10" i="44"/>
  <c r="F9" i="44"/>
  <c r="F8" i="44"/>
  <c r="F7" i="44"/>
  <c r="F6" i="44"/>
  <c r="F5" i="44"/>
  <c r="F4" i="44"/>
  <c r="F34" i="44" s="1"/>
  <c r="F35" i="44" s="1"/>
  <c r="F30" i="28"/>
  <c r="D114" i="36"/>
  <c r="N77" i="39"/>
  <c r="N19" i="36"/>
  <c r="M19" i="36"/>
  <c r="C100" i="36"/>
  <c r="F17" i="28"/>
  <c r="G32" i="28"/>
  <c r="F39" i="35"/>
  <c r="F38" i="35"/>
  <c r="F37" i="35"/>
  <c r="F23" i="35"/>
  <c r="F22" i="35"/>
  <c r="F47" i="35"/>
  <c r="F137" i="36"/>
  <c r="F136" i="36"/>
  <c r="F135" i="36"/>
  <c r="F134" i="36"/>
  <c r="F133" i="36"/>
  <c r="F132" i="36"/>
  <c r="F131" i="36"/>
  <c r="F130" i="36"/>
  <c r="F129" i="36"/>
  <c r="F128" i="36"/>
  <c r="F126" i="36"/>
  <c r="F125" i="36"/>
  <c r="F124" i="36"/>
  <c r="F127" i="36"/>
  <c r="O169" i="33"/>
  <c r="N169" i="33" s="1"/>
  <c r="O170" i="33"/>
  <c r="N170" i="33" s="1"/>
  <c r="N172" i="33"/>
  <c r="N173" i="33"/>
  <c r="N174" i="33"/>
  <c r="N175" i="33"/>
  <c r="N176" i="33"/>
  <c r="N177" i="33"/>
  <c r="N179" i="33"/>
  <c r="N167" i="33"/>
  <c r="O163" i="33"/>
  <c r="N163" i="33" s="1"/>
  <c r="O162" i="33"/>
  <c r="N162" i="33" s="1"/>
  <c r="O161" i="33"/>
  <c r="N161" i="33" s="1"/>
  <c r="O160" i="33"/>
  <c r="N160" i="33" s="1"/>
  <c r="O159" i="33"/>
  <c r="O158" i="33"/>
  <c r="O157" i="33"/>
  <c r="F123" i="36"/>
  <c r="D113" i="36"/>
  <c r="F96" i="36"/>
  <c r="H85" i="39"/>
  <c r="D8" i="36" s="1"/>
  <c r="P4" i="43"/>
  <c r="O4" i="43"/>
  <c r="H87" i="39" l="1"/>
  <c r="O178" i="33"/>
  <c r="N178" i="33" s="1"/>
  <c r="N4" i="43"/>
  <c r="M4" i="43"/>
  <c r="L4" i="43"/>
  <c r="K4" i="43"/>
  <c r="J4" i="43"/>
  <c r="H4" i="43"/>
  <c r="I4" i="43"/>
  <c r="G4" i="43"/>
  <c r="T4" i="43"/>
  <c r="R4" i="43"/>
  <c r="F4" i="43"/>
  <c r="Q4" i="43"/>
  <c r="D4" i="43"/>
  <c r="E143" i="36"/>
  <c r="E142" i="36"/>
  <c r="E141" i="36"/>
  <c r="E140" i="36"/>
  <c r="F139" i="36"/>
  <c r="F138" i="36"/>
  <c r="AX4" i="43"/>
  <c r="F121" i="36"/>
  <c r="F120" i="36"/>
  <c r="F112" i="36"/>
  <c r="F111" i="36"/>
  <c r="F110" i="36"/>
  <c r="F109" i="36"/>
  <c r="F108" i="36"/>
  <c r="F107" i="36"/>
  <c r="F106" i="36"/>
  <c r="F105" i="36"/>
  <c r="F104" i="36"/>
  <c r="F103" i="36"/>
  <c r="F99" i="36"/>
  <c r="F98" i="36"/>
  <c r="F97" i="36"/>
  <c r="F95" i="36"/>
  <c r="F94" i="36"/>
  <c r="F93" i="36"/>
  <c r="F85" i="36"/>
  <c r="F84" i="36"/>
  <c r="F83" i="36"/>
  <c r="F52" i="36"/>
  <c r="F51" i="36"/>
  <c r="F50" i="36"/>
  <c r="F49" i="36"/>
  <c r="F48" i="36"/>
  <c r="F47" i="36"/>
  <c r="F46" i="36"/>
  <c r="D32" i="36"/>
  <c r="S4" i="43"/>
  <c r="G27" i="40"/>
  <c r="E21" i="36" s="1"/>
  <c r="F18" i="40"/>
  <c r="F17" i="40"/>
  <c r="F16" i="40"/>
  <c r="F15" i="40"/>
  <c r="AB14" i="40"/>
  <c r="F14" i="40"/>
  <c r="AB13" i="40"/>
  <c r="F13" i="40"/>
  <c r="F12" i="40"/>
  <c r="F11" i="40"/>
  <c r="F10" i="40"/>
  <c r="F9" i="40"/>
  <c r="F8" i="40"/>
  <c r="F7" i="40"/>
  <c r="F6" i="40"/>
  <c r="F5" i="40"/>
  <c r="F4" i="40"/>
  <c r="F3" i="40"/>
  <c r="G52" i="35"/>
  <c r="E20" i="36" s="1"/>
  <c r="F51" i="35"/>
  <c r="F50" i="35"/>
  <c r="F49" i="35"/>
  <c r="F48" i="35"/>
  <c r="F36" i="35"/>
  <c r="F35" i="35"/>
  <c r="F34" i="35"/>
  <c r="F33" i="35"/>
  <c r="F32" i="35"/>
  <c r="F31" i="35"/>
  <c r="F30" i="35"/>
  <c r="E28" i="35"/>
  <c r="F21" i="35"/>
  <c r="F20" i="35"/>
  <c r="F19" i="35"/>
  <c r="F18" i="35"/>
  <c r="F17" i="35"/>
  <c r="E15" i="35"/>
  <c r="E14" i="35"/>
  <c r="E9" i="35"/>
  <c r="F9" i="35" s="1"/>
  <c r="E8" i="35"/>
  <c r="F8" i="35" s="1"/>
  <c r="E7" i="35"/>
  <c r="F7" i="35" s="1"/>
  <c r="E6" i="35"/>
  <c r="F6" i="35" s="1"/>
  <c r="F5" i="35"/>
  <c r="F4" i="35"/>
  <c r="F3" i="35"/>
  <c r="AS4" i="43"/>
  <c r="G69" i="36"/>
  <c r="E18" i="36"/>
  <c r="F31" i="28"/>
  <c r="F29" i="28"/>
  <c r="F28" i="28"/>
  <c r="F27" i="28"/>
  <c r="F26" i="28"/>
  <c r="F25" i="28"/>
  <c r="F24" i="28"/>
  <c r="F23" i="28"/>
  <c r="F22" i="28"/>
  <c r="F21" i="28"/>
  <c r="F20" i="28"/>
  <c r="F19" i="28"/>
  <c r="E18" i="28"/>
  <c r="F42" i="36" s="1"/>
  <c r="C32" i="36"/>
  <c r="G32" i="36" s="1"/>
  <c r="F16" i="28"/>
  <c r="F15" i="28"/>
  <c r="F14" i="28"/>
  <c r="F13" i="28"/>
  <c r="F12" i="28"/>
  <c r="F11" i="28"/>
  <c r="F10" i="28"/>
  <c r="E9" i="28"/>
  <c r="F34" i="36" s="1"/>
  <c r="F8" i="28"/>
  <c r="C31" i="36" s="1"/>
  <c r="E5" i="28"/>
  <c r="E4" i="28"/>
  <c r="J63" i="39"/>
  <c r="C90" i="36" s="1"/>
  <c r="J57" i="39"/>
  <c r="H51" i="39"/>
  <c r="E45" i="35" s="1"/>
  <c r="AN44" i="39"/>
  <c r="J42" i="39" s="1"/>
  <c r="E6" i="28" s="1"/>
  <c r="D6" i="28" s="1"/>
  <c r="E4" i="43"/>
  <c r="O164" i="33" l="1"/>
  <c r="N164" i="33" s="1"/>
  <c r="E22" i="36"/>
  <c r="F27" i="40"/>
  <c r="D21" i="36" s="1"/>
  <c r="C117" i="36"/>
  <c r="C93" i="36"/>
  <c r="E93" i="36" s="1"/>
  <c r="G68" i="36"/>
  <c r="F37" i="36"/>
  <c r="C124" i="36"/>
  <c r="C103" i="36"/>
  <c r="E103" i="36" s="1"/>
  <c r="E70" i="36"/>
  <c r="E69" i="36"/>
  <c r="AN4" i="43"/>
  <c r="C47" i="36"/>
  <c r="AM4" i="43" s="1"/>
  <c r="F45" i="36"/>
  <c r="C40" i="36"/>
  <c r="AJ4" i="43"/>
  <c r="F32" i="36"/>
  <c r="E32" i="36"/>
  <c r="C33" i="36"/>
  <c r="AK4" i="43" s="1"/>
  <c r="AI4" i="43"/>
  <c r="F31" i="36"/>
  <c r="G31" i="36" s="1"/>
  <c r="E31" i="36"/>
  <c r="AQ4" i="43"/>
  <c r="E81" i="36"/>
  <c r="BB4" i="43"/>
  <c r="E16" i="35"/>
  <c r="C92" i="36" s="1"/>
  <c r="F87" i="36"/>
  <c r="F52" i="35"/>
  <c r="F40" i="36"/>
  <c r="E10" i="35"/>
  <c r="H8" i="35" s="1"/>
  <c r="F89" i="36"/>
  <c r="F86" i="36"/>
  <c r="F41" i="36"/>
  <c r="F43" i="36"/>
  <c r="F88" i="36"/>
  <c r="Z34" i="36"/>
  <c r="F44" i="36"/>
  <c r="F30" i="36"/>
  <c r="F6" i="28"/>
  <c r="F32" i="28" s="1"/>
  <c r="AN46" i="39"/>
  <c r="AO46" i="39" s="1"/>
  <c r="AP46" i="39" s="1"/>
  <c r="AQ46" i="39" s="1"/>
  <c r="AR46" i="39" s="1"/>
  <c r="F33" i="36"/>
  <c r="F35" i="36"/>
  <c r="F38" i="36"/>
  <c r="F36" i="36"/>
  <c r="F39" i="36"/>
  <c r="E117" i="36" l="1"/>
  <c r="AP4" i="43"/>
  <c r="F28" i="40"/>
  <c r="G103" i="36"/>
  <c r="AV4" i="43"/>
  <c r="E68" i="36"/>
  <c r="E53" i="36"/>
  <c r="C83" i="36"/>
  <c r="AT4" i="43" s="1"/>
  <c r="AE4" i="43"/>
  <c r="E124" i="36"/>
  <c r="AY4" i="43"/>
  <c r="G124" i="36"/>
  <c r="AW4" i="43"/>
  <c r="AU4" i="43"/>
  <c r="G93" i="36"/>
  <c r="AR4" i="43"/>
  <c r="G70" i="36"/>
  <c r="AO4" i="43"/>
  <c r="E61" i="36"/>
  <c r="F19" i="36"/>
  <c r="E47" i="36"/>
  <c r="G47" i="36"/>
  <c r="G40" i="36"/>
  <c r="AL4" i="43"/>
  <c r="E40" i="36"/>
  <c r="G33" i="36"/>
  <c r="E33" i="36"/>
  <c r="H14" i="35"/>
  <c r="F53" i="35"/>
  <c r="BC4" i="43"/>
  <c r="Z35" i="36"/>
  <c r="AU46" i="39"/>
  <c r="AU47" i="39" s="1"/>
  <c r="AU48" i="39" s="1"/>
  <c r="AT46" i="39"/>
  <c r="AT47" i="39" s="1"/>
  <c r="AT48" i="39" s="1"/>
  <c r="AS46" i="39"/>
  <c r="AS47" i="39" s="1"/>
  <c r="AS48" i="39" s="1"/>
  <c r="AR47" i="39"/>
  <c r="C30" i="36"/>
  <c r="G51" i="39" l="1"/>
  <c r="I51" i="39" s="1"/>
  <c r="E83" i="36"/>
  <c r="G83" i="36"/>
  <c r="F21" i="36"/>
  <c r="AC4" i="43"/>
  <c r="D20" i="36"/>
  <c r="AD4" i="43" s="1"/>
  <c r="G50" i="39"/>
  <c r="E30" i="36"/>
  <c r="G30" i="36" s="1"/>
  <c r="AH4" i="43"/>
  <c r="AZ4" i="43" s="1"/>
  <c r="D18" i="36"/>
  <c r="F33" i="28"/>
  <c r="O166" i="33" l="1"/>
  <c r="N166" i="33" s="1"/>
  <c r="B43" i="35"/>
  <c r="E44" i="35"/>
  <c r="E46" i="35" s="1"/>
  <c r="F117" i="36" s="1"/>
  <c r="E27" i="35"/>
  <c r="E29" i="35" s="1"/>
  <c r="H29" i="35" s="1"/>
  <c r="I50" i="39"/>
  <c r="O19" i="36" s="1"/>
  <c r="F20" i="36"/>
  <c r="AB4" i="43"/>
  <c r="D22" i="36"/>
  <c r="AF4" i="43" s="1"/>
  <c r="F18" i="36"/>
  <c r="C116" i="36" l="1"/>
  <c r="F119" i="36"/>
  <c r="F118" i="36"/>
  <c r="H46" i="35"/>
  <c r="H52" i="35" s="1"/>
  <c r="H86" i="39"/>
  <c r="C102" i="36"/>
  <c r="BD4" i="43" s="1"/>
  <c r="O165" i="33"/>
  <c r="N165" i="33" s="1"/>
  <c r="G117" i="36"/>
  <c r="BE4" i="43"/>
  <c r="F22" i="36"/>
  <c r="K24" i="36" s="1"/>
  <c r="D9" i="36" l="1"/>
  <c r="V4" i="43" s="1"/>
  <c r="H88" i="39"/>
  <c r="D16" i="36"/>
  <c r="H27" i="40" l="1"/>
  <c r="N78" i="39"/>
  <c r="C122" i="36" s="1"/>
  <c r="BF4" i="43" s="1"/>
  <c r="P19" i="36"/>
  <c r="O168" i="33"/>
  <c r="N168" i="33" s="1"/>
  <c r="D10" i="36" l="1"/>
  <c r="H89" i="39"/>
  <c r="H90" i="39" s="1"/>
  <c r="H84" i="39" s="1"/>
  <c r="D13" i="36" l="1"/>
  <c r="D11" i="36"/>
  <c r="W4" i="43"/>
  <c r="K23" i="36" l="1"/>
  <c r="D7" i="36"/>
  <c r="X4" i="43"/>
  <c r="D12" i="36"/>
  <c r="Y4" i="43" s="1"/>
  <c r="Z4" i="43"/>
</calcChain>
</file>

<file path=xl/sharedStrings.xml><?xml version="1.0" encoding="utf-8"?>
<sst xmlns="http://schemas.openxmlformats.org/spreadsheetml/2006/main" count="603" uniqueCount="448">
  <si>
    <t>Question</t>
  </si>
  <si>
    <t>Grassland - Almost all (75%+) permanent grassland with wildflowers and clovers</t>
  </si>
  <si>
    <t>Arable - 1-2 different crops</t>
  </si>
  <si>
    <t>Arable - 3-4 different crops</t>
  </si>
  <si>
    <t>Arable - 5 or more crops</t>
  </si>
  <si>
    <t>Agroforestry</t>
  </si>
  <si>
    <t>No</t>
  </si>
  <si>
    <t>2.1.1</t>
  </si>
  <si>
    <t>2.1.2</t>
  </si>
  <si>
    <t>2.2.1</t>
  </si>
  <si>
    <t>Do you have farm buildings / farmyard(s)?</t>
  </si>
  <si>
    <t>No score assigned</t>
  </si>
  <si>
    <t>2.2.2</t>
  </si>
  <si>
    <t>2.3.1</t>
  </si>
  <si>
    <t>No score assigned but recorded to aid future advice from CAFRE</t>
  </si>
  <si>
    <t>2.4.1</t>
  </si>
  <si>
    <t>2.4.2</t>
  </si>
  <si>
    <t>Specific technologies used to reduce pesticide drift (such as low drift nozzles)</t>
  </si>
  <si>
    <t>Mechanical weed control practiced</t>
  </si>
  <si>
    <t>I aim to reduce my use of pesticides to protect wildlife</t>
  </si>
  <si>
    <t>2.5.1</t>
  </si>
  <si>
    <t>How would you describe the landscape surrounding your farm?</t>
  </si>
  <si>
    <t>2.5.2</t>
  </si>
  <si>
    <t>Replace conventional crop protection products with biological pest control, UV light or crop protection products certified under organic agriculture</t>
  </si>
  <si>
    <t>3.2.1</t>
  </si>
  <si>
    <t>3.2.2</t>
  </si>
  <si>
    <t>At least one Whitethorn/Hawthorn in each hedgerow is allowed to grow into a mature flowering tree.</t>
  </si>
  <si>
    <t>Do you have field boundaries suitable for new hedge planting on your farm that you would plant?</t>
  </si>
  <si>
    <t>Do you have field boundaries suitable for hedge restoration on your farm that you would restore?</t>
  </si>
  <si>
    <t>3.3.1</t>
  </si>
  <si>
    <t>3.3.2</t>
  </si>
  <si>
    <t>Work to repair stone walls and any removal of stone piles is undertaken in the spring and summer, outside of hibernation periods for wildlife.</t>
  </si>
  <si>
    <t>3.3.3</t>
  </si>
  <si>
    <t>Intact lowland raised bog</t>
  </si>
  <si>
    <t>Coastal habitats</t>
  </si>
  <si>
    <t>Wetlands</t>
  </si>
  <si>
    <t>Parkland</t>
  </si>
  <si>
    <t>Traditional orchard</t>
  </si>
  <si>
    <t>I protect the habitat area by not storing or dumping wastes, manures, baled silage or other harmful materials on area.</t>
  </si>
  <si>
    <t>Put up nest boxes for songbirds.</t>
  </si>
  <si>
    <t>Install stone/sand/clay piles for bees.</t>
  </si>
  <si>
    <t xml:space="preserve">Allow other grassland areas to convert to semi-natural grassland through natural processes. </t>
  </si>
  <si>
    <t>Score</t>
  </si>
  <si>
    <t>Max. score</t>
  </si>
  <si>
    <t>% habitat answers</t>
  </si>
  <si>
    <t>TOTAL</t>
  </si>
  <si>
    <t>% score</t>
  </si>
  <si>
    <t>Never</t>
  </si>
  <si>
    <t>Often</t>
  </si>
  <si>
    <t>Always</t>
  </si>
  <si>
    <t>TOTALS</t>
  </si>
  <si>
    <t>Total area</t>
  </si>
  <si>
    <t>Summary</t>
  </si>
  <si>
    <t>Maximum score</t>
  </si>
  <si>
    <t>General biodiversity assessment score</t>
  </si>
  <si>
    <t>Area habitat biodiversity assessment score</t>
  </si>
  <si>
    <t>Score achieved</t>
  </si>
  <si>
    <t>Answer provided</t>
  </si>
  <si>
    <t xml:space="preserve">Land use </t>
  </si>
  <si>
    <t>Average field size &lt; 5ha</t>
  </si>
  <si>
    <t>Crop diversity - grassland</t>
  </si>
  <si>
    <t>Crop diversity - arable crops</t>
  </si>
  <si>
    <t>General practices</t>
  </si>
  <si>
    <t>Organic farming</t>
  </si>
  <si>
    <t>PPP use</t>
  </si>
  <si>
    <t>Linear habitat areas</t>
  </si>
  <si>
    <t>Linear habitat biodiversity assessment score</t>
  </si>
  <si>
    <t>Both True</t>
  </si>
  <si>
    <t xml:space="preserve">% Habitat </t>
  </si>
  <si>
    <t>Enter Score</t>
  </si>
  <si>
    <t>Rarely</t>
  </si>
  <si>
    <t>Sometimes</t>
  </si>
  <si>
    <t>-</t>
  </si>
  <si>
    <t>BENCHMARK 1 - 10% farm area is Semi Natural habitat</t>
  </si>
  <si>
    <t>Maximum Score</t>
  </si>
  <si>
    <t>Orchards (traditional and/or commercial)</t>
  </si>
  <si>
    <t>Retain semi-natural habitats located near crops, so beneficial insects can help with pest control.</t>
  </si>
  <si>
    <t>1.2.1</t>
  </si>
  <si>
    <t>1.2.1.1</t>
  </si>
  <si>
    <t>1.2.2</t>
  </si>
  <si>
    <t>1.2.2.1</t>
  </si>
  <si>
    <t>1.2.3</t>
  </si>
  <si>
    <t>No arable crops - Go to Q1.2.3</t>
  </si>
  <si>
    <t>No grassland - go to Q1.2.2</t>
  </si>
  <si>
    <t>Maximum Score Achieved</t>
  </si>
  <si>
    <t>Retain more grassland as permanent and/or introduce other species e.g. clovers or wildflowers</t>
  </si>
  <si>
    <t>Introduce other species into the grassland e.g. wildflowers or clovers or retain pastures as permanent</t>
  </si>
  <si>
    <t>Consider growing areas of grassland</t>
  </si>
  <si>
    <t>No grassland - Go to Q1.2.2</t>
  </si>
  <si>
    <t>Is mowing and grazing delayed until at least 1 July on at least 1 ha?</t>
  </si>
  <si>
    <t>Are the nests of ground nesting birds marked or protected to prevent damage by machinery?</t>
  </si>
  <si>
    <t>Are cover crops grown?</t>
  </si>
  <si>
    <t>N/A</t>
  </si>
  <si>
    <t>Unmown verges along roads and/or tracks</t>
  </si>
  <si>
    <t>Enter the average width (metres):</t>
  </si>
  <si>
    <t>Your total area of riparian buffer:</t>
  </si>
  <si>
    <t>3.2.3</t>
  </si>
  <si>
    <t>Hedgerows</t>
  </si>
  <si>
    <t>3.4.1</t>
  </si>
  <si>
    <t>Riparian Buffers</t>
  </si>
  <si>
    <t>Total area of hedgerows</t>
  </si>
  <si>
    <t>Total area of Riparian Buffers</t>
  </si>
  <si>
    <t>Erect bat box or other bat shelter</t>
  </si>
  <si>
    <t>What biodiversity-friendly management measures do you carry out to help connect the biodiversity on your farm to the wider landscape?</t>
  </si>
  <si>
    <t>Hedgerows contain at least one tree (either saplings or mature trees) every 50m on average.</t>
  </si>
  <si>
    <t>% habitat - Benchmark 1</t>
  </si>
  <si>
    <t>Total biodiversity assessment score - Benchmark 2</t>
  </si>
  <si>
    <t>Both options may be true</t>
  </si>
  <si>
    <t>What type of Plant Protection Product (pesticides) do you use?</t>
  </si>
  <si>
    <t>Land use biodiversity assessment score</t>
  </si>
  <si>
    <t>When cleaning sheughs, are some water-loving plants (e.g. water mint) retained?</t>
  </si>
  <si>
    <t>Enter the total length of riparian buffers (metres):</t>
  </si>
  <si>
    <t>%</t>
  </si>
  <si>
    <t>ha</t>
  </si>
  <si>
    <t>Biodiversity Assessment Tool</t>
  </si>
  <si>
    <t>Is stubble retained in the fields over the winter months until the following spring?</t>
  </si>
  <si>
    <t>Are the nests of ground nesting birds marked or protected to prevent damage from trampling livestock?</t>
  </si>
  <si>
    <t>Is an area of the field left unharvested to provide food (seed) for wildlife?</t>
  </si>
  <si>
    <t>When cleaning sheughs, is a balance of trees, shrubs and fringing vegetation maintained?</t>
  </si>
  <si>
    <t>Field margins are the areas between the crop and the field boundary and in most cases occur adjacent to hedgerows.</t>
  </si>
  <si>
    <t>Where trees have been planted, annual maintenance such as replacing dead trees or removing tree guards is completed, when required.</t>
  </si>
  <si>
    <t>Management of shrubs and trees that may damage the dry stone wall is undertaken every few years, during autumn and winter.</t>
  </si>
  <si>
    <t>Biodiversity Assessment Score:</t>
  </si>
  <si>
    <t>Pointers for how to raise the biodiversity value of your farm:</t>
  </si>
  <si>
    <t>1.1 Farm information:</t>
  </si>
  <si>
    <t>1.1.1</t>
  </si>
  <si>
    <t>In hectares, what is the total area you farm?</t>
  </si>
  <si>
    <t>Farmer selects frequency of the statement.
Always
Often
Sometimes
Rarely
Never</t>
  </si>
  <si>
    <t>I use Integrated Pest Management (IPM)</t>
  </si>
  <si>
    <t>Hedgerows contain a mix of native pollinator-friendly (flowering) trees/shrubs that are allowed to flower to provide food throughout the season.</t>
  </si>
  <si>
    <t>Small areas of exposed bare earth on the south or east facing side of the hedgerow base are left to provide areas for mining solitary bees to nest.</t>
  </si>
  <si>
    <t>Where a green box appears, please click on the green box for an arrow to appear on the right. Then click on the arrow for a list of answers and select the most appropriate answer.</t>
  </si>
  <si>
    <r>
      <t xml:space="preserve">In hectares, what is the total area of </t>
    </r>
    <r>
      <rPr>
        <b/>
        <sz val="10"/>
        <rFont val="Arial"/>
        <family val="2"/>
      </rPr>
      <t>grassland</t>
    </r>
    <r>
      <rPr>
        <sz val="10"/>
        <rFont val="Arial"/>
        <family val="2"/>
      </rPr>
      <t xml:space="preserve"> on your farm?</t>
    </r>
  </si>
  <si>
    <r>
      <rPr>
        <b/>
        <sz val="10"/>
        <rFont val="Arial"/>
        <family val="2"/>
      </rPr>
      <t xml:space="preserve">Other: </t>
    </r>
    <r>
      <rPr>
        <i/>
        <sz val="10"/>
        <rFont val="Arial"/>
        <family val="2"/>
      </rPr>
      <t xml:space="preserve">Please insert description(s) in the yellow box:
</t>
    </r>
    <r>
      <rPr>
        <sz val="10"/>
        <rFont val="Arial"/>
        <family val="2"/>
      </rPr>
      <t>If there are no additional practices, please leave blank</t>
    </r>
  </si>
  <si>
    <r>
      <rPr>
        <b/>
        <sz val="10"/>
        <rFont val="Arial"/>
        <family val="2"/>
      </rPr>
      <t xml:space="preserve">Other:
</t>
    </r>
    <r>
      <rPr>
        <i/>
        <sz val="10"/>
        <rFont val="Arial"/>
        <family val="2"/>
      </rPr>
      <t xml:space="preserve">Please insert description(s) in the yellow box:
</t>
    </r>
    <r>
      <rPr>
        <sz val="10"/>
        <rFont val="Arial"/>
        <family val="2"/>
      </rPr>
      <t>If there are no additional practices, please leave blank</t>
    </r>
  </si>
  <si>
    <r>
      <rPr>
        <b/>
        <sz val="10"/>
        <rFont val="Arial"/>
        <family val="2"/>
      </rPr>
      <t xml:space="preserve">Other: </t>
    </r>
    <r>
      <rPr>
        <i/>
        <sz val="10"/>
        <rFont val="Arial"/>
        <family val="2"/>
      </rPr>
      <t xml:space="preserve">Please insert description(s) here:   </t>
    </r>
    <r>
      <rPr>
        <sz val="10"/>
        <rFont val="Arial"/>
        <family val="2"/>
      </rPr>
      <t xml:space="preserve">                        If there are no additional practices, please leave blank</t>
    </r>
  </si>
  <si>
    <t>No score assigned but recorded to aid future advice from CAFRE.
Please advise which schemes are currently open.</t>
  </si>
  <si>
    <t>Insert your answer below:</t>
  </si>
  <si>
    <t>Breeding wader sites:</t>
  </si>
  <si>
    <t>Are strips in the field of at least 2-4m wide left unmown as refuge areas?</t>
  </si>
  <si>
    <t>Do you have existing riparian buffers that could be enhanced by tree planting?</t>
  </si>
  <si>
    <t>Condition of existing riparian buffers on your farm:</t>
  </si>
  <si>
    <r>
      <t>Why?</t>
    </r>
    <r>
      <rPr>
        <sz val="10"/>
        <rFont val="Arial"/>
        <family val="2"/>
      </rPr>
      <t xml:space="preserve"> Solitary bees build their nest in south facing, free draining patches of bare earth, sand, stone or clay piles.</t>
    </r>
  </si>
  <si>
    <t>BCIrelandGuidelines_BatBoxes.pdf (batconservationireland.org)</t>
  </si>
  <si>
    <t>Space below left blank for Advisor or Farmer comments</t>
  </si>
  <si>
    <t>Click here for information on Bat Boxes</t>
  </si>
  <si>
    <r>
      <t xml:space="preserve">What is the total number of fields you farm?
Please </t>
    </r>
    <r>
      <rPr>
        <b/>
        <sz val="10"/>
        <rFont val="Arial"/>
        <family val="2"/>
      </rPr>
      <t>exclude</t>
    </r>
    <r>
      <rPr>
        <sz val="10"/>
        <rFont val="Arial"/>
        <family val="2"/>
      </rPr>
      <t xml:space="preserve"> any fenced off strips that are less than 0.2ha.</t>
    </r>
  </si>
  <si>
    <t>Please include the total area of arable cropping to include arable crops, potatoes or vegetables.</t>
  </si>
  <si>
    <t>Ave field size from land area / no of fields</t>
  </si>
  <si>
    <t>Area (m2)</t>
  </si>
  <si>
    <t>Perimeter of square field - 2 gates (8)</t>
  </si>
  <si>
    <t>No of metres boundary per hectare</t>
  </si>
  <si>
    <t>By applying the Northern Ireland field boundary averages to your average field size, we can assume you have the following lengths of each of the boundary types:</t>
  </si>
  <si>
    <t>Field Boundary Type</t>
  </si>
  <si>
    <t>Length (metre)</t>
  </si>
  <si>
    <r>
      <t xml:space="preserve">In hectares, what is the total area of </t>
    </r>
    <r>
      <rPr>
        <b/>
        <sz val="10"/>
        <rFont val="Arial"/>
        <family val="2"/>
      </rPr>
      <t xml:space="preserve">arable cropping </t>
    </r>
    <r>
      <rPr>
        <sz val="10"/>
        <rFont val="Arial"/>
        <family val="2"/>
      </rPr>
      <t>grown on your farm?</t>
    </r>
  </si>
  <si>
    <t>Applying NI average hedge fraction of boundary 0.53</t>
  </si>
  <si>
    <t>Average Width (metre)</t>
  </si>
  <si>
    <t>Hedge only 0.72</t>
  </si>
  <si>
    <t>Other 0.196</t>
  </si>
  <si>
    <t>Conifer Woodland</t>
  </si>
  <si>
    <t xml:space="preserve">The total length of hedgerows (metres):  </t>
  </si>
  <si>
    <t>Other field boundary habitats: stone walls (dry, ruined or mortared) and earth banks/brus</t>
  </si>
  <si>
    <t>Is any of this land managed within an agri-environment scheme?</t>
  </si>
  <si>
    <t>I renew woodland habitats by planting trees/shrubs, if necessary.</t>
  </si>
  <si>
    <t>I protect non-wooded habitat areas by not planting trees and/or shrubs.</t>
  </si>
  <si>
    <t>Semi-natural habitat land is left uncultivated</t>
  </si>
  <si>
    <t>Enter the total area (ha) of the following semi-natural habitats that you manage:</t>
  </si>
  <si>
    <t>The average field size will be used to estimate the field boundary total on your farm.</t>
  </si>
  <si>
    <t>Please enter the total hectares of each of the following semi-natural areas that are found on your farm:
If any of the following habitats are not present, please enter 0.</t>
  </si>
  <si>
    <t>Agroforestry:</t>
  </si>
  <si>
    <r>
      <rPr>
        <b/>
        <sz val="10"/>
        <rFont val="Arial"/>
        <family val="2"/>
      </rPr>
      <t xml:space="preserve">Other:
</t>
    </r>
    <r>
      <rPr>
        <i/>
        <sz val="10"/>
        <rFont val="Arial"/>
        <family val="2"/>
      </rPr>
      <t xml:space="preserve">Please insert description in the yellow box: 
</t>
    </r>
    <r>
      <rPr>
        <sz val="10"/>
        <rFont val="Arial"/>
        <family val="2"/>
      </rPr>
      <t>If there are no additional practices, please leave blank.</t>
    </r>
  </si>
  <si>
    <t>Your total area of hedgerows (hectares):</t>
  </si>
  <si>
    <t>The average width of hedgerows (metres):</t>
  </si>
  <si>
    <r>
      <rPr>
        <b/>
        <sz val="10"/>
        <rFont val="Arial"/>
        <family val="2"/>
      </rPr>
      <t>The total area of all other field boundaries:</t>
    </r>
    <r>
      <rPr>
        <sz val="10"/>
        <rFont val="Arial"/>
        <family val="2"/>
      </rPr>
      <t xml:space="preserve">
This information has been prepopulated from the pre assessment where you entered your own farm information. 
You either entered your own data or these figures have been calculated using your field sizes and the Northern Ireland average field boundary statistics.</t>
    </r>
  </si>
  <si>
    <t>Your total area of all other field boundary habitats (hectares):</t>
  </si>
  <si>
    <t>The average width of all other field boundary habitats (metres):</t>
  </si>
  <si>
    <t xml:space="preserve">The total length of all other field boundary habitats (metres):  </t>
  </si>
  <si>
    <t>What wildlife-friendly management measures do you carry out connected to your existing stone walls or earth banks/brus?</t>
  </si>
  <si>
    <t>% habitat</t>
  </si>
  <si>
    <t>Please select the most appropriate option relating to the number of crops grown on your farm:</t>
  </si>
  <si>
    <t>Your average field size based on the total grassland and arable land:</t>
  </si>
  <si>
    <t>Broadleaf Woodland</t>
  </si>
  <si>
    <t>Used for % habitat calculation not score.
Figures have been prepopulated from the pre assessment.</t>
  </si>
  <si>
    <t>Farmer selects one of the categories.</t>
  </si>
  <si>
    <r>
      <rPr>
        <b/>
        <sz val="10"/>
        <rFont val="Arial"/>
        <family val="2"/>
      </rPr>
      <t xml:space="preserve">
On fields that march a watercourse</t>
    </r>
    <r>
      <rPr>
        <sz val="10"/>
        <rFont val="Arial"/>
        <family val="2"/>
      </rPr>
      <t>, do you perform the following biodiversity-friendly management measures?</t>
    </r>
  </si>
  <si>
    <t>If the watercourse is next to a productive crop or grass field, is the watercourse buffered with a woody or grass margin?</t>
  </si>
  <si>
    <t>Nest boxes for birds are provided</t>
  </si>
  <si>
    <t>Pile(s) of dead wood for insects are provided</t>
  </si>
  <si>
    <t>Pile(s) of stones or sand for bees are provided</t>
  </si>
  <si>
    <t>Bat box or other bat shelter are provided</t>
  </si>
  <si>
    <t>Margins or areas sown with annual wildflowers (ha)</t>
  </si>
  <si>
    <t>Margins or areas sown with nectar and pollen mix (ha)</t>
  </si>
  <si>
    <t>Margins or areas sown with rough grasses (ha)</t>
  </si>
  <si>
    <t>Margins or areas sown with winter feed crop for wild birds (ha)</t>
  </si>
  <si>
    <t>Your total area (ha) of field margins, excluding riparian buffer:</t>
  </si>
  <si>
    <t xml:space="preserve">
What wildlife-friendly management measures do you carry out connected to your riparian buffers?</t>
  </si>
  <si>
    <t xml:space="preserve">
What is your total area of Riparian buffer strips?
 These figures have been prepopulated from what you entered in the pre assessment.</t>
  </si>
  <si>
    <r>
      <t xml:space="preserve">
What biodiversity-friendly management measures do you carry out in connection with your </t>
    </r>
    <r>
      <rPr>
        <b/>
        <sz val="10"/>
        <rFont val="Arial"/>
        <family val="2"/>
      </rPr>
      <t>farm buildings/farmyard(s)?</t>
    </r>
  </si>
  <si>
    <r>
      <rPr>
        <b/>
        <sz val="10"/>
        <rFont val="Arial"/>
        <family val="2"/>
      </rPr>
      <t>The total area of hedgerows on your farm:</t>
    </r>
    <r>
      <rPr>
        <sz val="10"/>
        <rFont val="Arial"/>
        <family val="2"/>
      </rPr>
      <t xml:space="preserve">
This information has been prepopulated from the pre assessment where you entered your own farm information.
You either entered your own data or these figures have been calculated using your average field size and the Northern Ireland average field boundary statistics.</t>
    </r>
  </si>
  <si>
    <t xml:space="preserve">
What wildlife-friendly management measures do you carry out connected to your existing hedgerows?</t>
  </si>
  <si>
    <r>
      <t xml:space="preserve">
What biodiversity-friendly management measures do you carry out connected to your </t>
    </r>
    <r>
      <rPr>
        <b/>
        <sz val="10"/>
        <rFont val="Arial"/>
        <family val="2"/>
      </rPr>
      <t>semi-natural habitat areas</t>
    </r>
    <r>
      <rPr>
        <sz val="10"/>
        <rFont val="Arial"/>
        <family val="2"/>
      </rPr>
      <t>?</t>
    </r>
  </si>
  <si>
    <r>
      <t xml:space="preserve">
What biodiversity-friendly practices do you carry out on your </t>
    </r>
    <r>
      <rPr>
        <b/>
        <sz val="10"/>
        <rFont val="Arial"/>
        <family val="2"/>
      </rPr>
      <t>arable land?</t>
    </r>
    <r>
      <rPr>
        <sz val="10"/>
        <rFont val="Arial"/>
        <family val="2"/>
      </rPr>
      <t xml:space="preserve"> (Please select yes or no from the drop down list)</t>
    </r>
  </si>
  <si>
    <r>
      <t xml:space="preserve">
What biodiversity-friendly practices do you carry out on your </t>
    </r>
    <r>
      <rPr>
        <b/>
        <sz val="10"/>
        <rFont val="Arial"/>
        <family val="2"/>
      </rPr>
      <t>grassland?</t>
    </r>
    <r>
      <rPr>
        <sz val="10"/>
        <rFont val="Arial"/>
        <family val="2"/>
      </rPr>
      <t xml:space="preserve"> (Please select yes or no from the drop down list)</t>
    </r>
  </si>
  <si>
    <t>Is minimum tillage used?</t>
  </si>
  <si>
    <t>Total area of all other field boundary habitats:</t>
  </si>
  <si>
    <t>Field Margins</t>
  </si>
  <si>
    <t>Total areas of semi-natural habitats that are found on farm:</t>
  </si>
  <si>
    <t xml:space="preserve">
Biodiversity-friendly management measures linked to semi-natural habitat areas</t>
  </si>
  <si>
    <t xml:space="preserve">
Biodiversity-friendly practices linked to your existing stone walls or earth banks/brus</t>
  </si>
  <si>
    <t xml:space="preserve">
Biodiversity-friendly practices linked to hedgerows.</t>
  </si>
  <si>
    <t xml:space="preserve">
Biodiversity-friendly practices linked to riparian buffers.</t>
  </si>
  <si>
    <t xml:space="preserve">
Types of areas of grass and flowering plants that are not for production</t>
  </si>
  <si>
    <t xml:space="preserve">
Biodiversity-friendly practices linked to PPP use</t>
  </si>
  <si>
    <t xml:space="preserve">
Biodiversity-friendly practices linked to watercourses</t>
  </si>
  <si>
    <t xml:space="preserve">
Biodiversity-friendly practices on arable crops</t>
  </si>
  <si>
    <t xml:space="preserve">
Biodiversity-friendly practices on grassland</t>
  </si>
  <si>
    <t xml:space="preserve">
What biodiversity-friendly enhancement works could you carry out to help the semi-natural habitat area on your farm?</t>
  </si>
  <si>
    <t>Habitats within my farm are linked with a wide hedge &amp; margin or sheugh &amp; margin or woodland corridor</t>
  </si>
  <si>
    <t>Habitats in my farm are linked with a habitat outside of my farm with a wide hedge &amp; margin/sheugh &amp; margin or woodland corridor</t>
  </si>
  <si>
    <t>Total ha</t>
  </si>
  <si>
    <t>Ha of grassland</t>
  </si>
  <si>
    <t>Ha of Arable</t>
  </si>
  <si>
    <t>% habitat
Benchmark 1</t>
  </si>
  <si>
    <t>Annual wildflowers</t>
  </si>
  <si>
    <t>Nectar and pollen mix</t>
  </si>
  <si>
    <t>Rough grasses</t>
  </si>
  <si>
    <t>Winter feed crop for wild birds</t>
  </si>
  <si>
    <t>All other field boundary habitats</t>
  </si>
  <si>
    <t>Total hectares of non-habitat area</t>
  </si>
  <si>
    <t>Total hectares of habitat area</t>
  </si>
  <si>
    <t>Total farm size</t>
  </si>
  <si>
    <t>Total area of linear habitats on farm</t>
  </si>
  <si>
    <t>Total area of land based habitats on farm</t>
  </si>
  <si>
    <t>Total area of grassland</t>
  </si>
  <si>
    <t>Total area of arable land</t>
  </si>
  <si>
    <t>Broadleaf Woodland:</t>
  </si>
  <si>
    <t>Conifer Woodland:</t>
  </si>
  <si>
    <t>When sheugh maintenance is required, is cleaning carried out during the autumn to late winter period?</t>
  </si>
  <si>
    <t>When sheugh maintenance is required, are they deepened or widened?</t>
  </si>
  <si>
    <t>Some farm buildings that are not used to store feed are accessible to nesting birds (such as barn owls or swallows) and/or bats</t>
  </si>
  <si>
    <t>Hedgerows are cut in an incremental strategy leaving an additional 10cm/4 inches when cut.
(To increase flowering and hedge size)</t>
  </si>
  <si>
    <t xml:space="preserve">Hedgerows are cut on a minimum 3-year cycle to allow more flowers and berries to be produced. </t>
  </si>
  <si>
    <t>Hedgerows are at least 2.5m in height, 1.5m in width and are thick to the base.</t>
  </si>
  <si>
    <t>Notes</t>
  </si>
  <si>
    <t>Are one or more flowering crops such as peas, beans or oil seed rape grown?</t>
  </si>
  <si>
    <t>Non-native invasive species and noxious weeds are controlled.</t>
  </si>
  <si>
    <t>Herbage is removed from wider riparian buffers after 15th July annually, to reduce soil nutrient status.</t>
  </si>
  <si>
    <t>Dry stone walls or earth banks are maintained.</t>
  </si>
  <si>
    <t>When cutting for hay, I delay cutting until 15th July to allow meadow species to shed seed.</t>
  </si>
  <si>
    <t>I graze at low stocking rates to maintain the habitat and prevent damage from overgrazing.</t>
  </si>
  <si>
    <t>When supplementary feeders have to be used they are moved regularly.</t>
  </si>
  <si>
    <t>I protect the habitat by not cutting turf mechanically.</t>
  </si>
  <si>
    <t>I control predators (foxes, crows or magpies) to help ground-nesting birds.</t>
  </si>
  <si>
    <t xml:space="preserve">
For the following field margins that are present on your farm, please enter the total area (hectares) of each, excluding riparian strips.
Please enter 0 if the field margin is not present on your farm.</t>
  </si>
  <si>
    <t>D21 - uncultivated</t>
  </si>
  <si>
    <t>Is a low annual nitrogen application (less than 100kg N/ha or 2,000 gals/acre cattle slurry) used on more than one third of the grassland area?</t>
  </si>
  <si>
    <t>Is over 50% of the farm extensively grazed (1.0 LU/ha or less)?</t>
  </si>
  <si>
    <t>For the options which you are not currently practicing, please consider how you could establish the option(s) to help enhance the semi-natural areas on your farm.</t>
  </si>
  <si>
    <t>Field Boundary Assessment</t>
  </si>
  <si>
    <t>Are low nitrogen, high clover content swards used on the farm?</t>
  </si>
  <si>
    <t>Are multi-species swards or herbal leys used on the farm?</t>
  </si>
  <si>
    <t>I only control noxious weeds by mechanical, hand pulling or spot spraying</t>
  </si>
  <si>
    <t>BENCHMARK 2 - Total biodiversity assessment score</t>
  </si>
  <si>
    <t>Total Area</t>
  </si>
  <si>
    <t>Above 5ha</t>
  </si>
  <si>
    <t>Below 2ha</t>
  </si>
  <si>
    <r>
      <t xml:space="preserve">Riparian Buffer
</t>
    </r>
    <r>
      <rPr>
        <sz val="10"/>
        <rFont val="Arial"/>
        <family val="2"/>
      </rPr>
      <t>Definition: A margin beside a watercourse or lough which is managed for biodiversity and water quality.</t>
    </r>
  </si>
  <si>
    <t>Do you have Riparian buffer strips?</t>
  </si>
  <si>
    <t>Watercourses include sheughs, open drains, stream, rivers or lakes.</t>
  </si>
  <si>
    <t>Grass or arable margins - uncultivated / unsprayed / unfertilised margins which are at least 1.5m wide</t>
  </si>
  <si>
    <t>Field corners which are ungrazed, unmown or uncropped</t>
  </si>
  <si>
    <t>Hedges</t>
  </si>
  <si>
    <t>Buffers</t>
  </si>
  <si>
    <t>Walls</t>
  </si>
  <si>
    <t xml:space="preserve">
Which of the following good practices do you use when dealing with weeds, pests and diseases?</t>
  </si>
  <si>
    <t>Spot spraying, band sprayer or weed-wiper is used instead of full-field spraying.</t>
  </si>
  <si>
    <t>Weeds are controlled manually</t>
  </si>
  <si>
    <t>Farm Pond:</t>
  </si>
  <si>
    <t>Farm Pond</t>
  </si>
  <si>
    <r>
      <t xml:space="preserve">Short rotation coppice </t>
    </r>
    <r>
      <rPr>
        <b/>
        <sz val="10"/>
        <rFont val="Arial"/>
        <family val="2"/>
      </rPr>
      <t xml:space="preserve">OR </t>
    </r>
    <r>
      <rPr>
        <sz val="10"/>
        <rFont val="Arial"/>
        <family val="2"/>
      </rPr>
      <t>coppiced woodland</t>
    </r>
  </si>
  <si>
    <t>Do any of your fields march a lough shore, pond or lake and/or watercourses, including rivers, streams and sheughs?</t>
  </si>
  <si>
    <t xml:space="preserve">
Are the following habitats found on your farm?</t>
  </si>
  <si>
    <t>Farm ponds or scrapes</t>
  </si>
  <si>
    <t>Please select the year you completed the assessment:</t>
  </si>
  <si>
    <t>Between 2-5ha</t>
  </si>
  <si>
    <t>Total area of Field Margins</t>
  </si>
  <si>
    <r>
      <t xml:space="preserve">The area is fenced (either permanently or temporarily) to prevent livestock access </t>
    </r>
    <r>
      <rPr>
        <b/>
        <sz val="10"/>
        <rFont val="Arial"/>
        <family val="2"/>
      </rPr>
      <t>OR</t>
    </r>
    <r>
      <rPr>
        <sz val="10"/>
        <rFont val="Arial"/>
        <family val="2"/>
      </rPr>
      <t xml:space="preserve"> no grazing occurs on the farm.</t>
    </r>
  </si>
  <si>
    <t>Hedgerows are left uncut until January-February to ensure berries are available for wildlife.</t>
  </si>
  <si>
    <t xml:space="preserve">
4.2</t>
  </si>
  <si>
    <t>The landscape surrounding your farm</t>
  </si>
  <si>
    <t>Biodiversity-friendly management measures carried out to help connect the biodiversity on your farm to the wider landscape</t>
  </si>
  <si>
    <t xml:space="preserve">
Biodiversity-friendly practices linked to farm building/farmyard(s)</t>
  </si>
  <si>
    <t>Grassland - Almost all swards (75%+) are Perennial Ryegrass</t>
  </si>
  <si>
    <t>Grassland - Mix of grassland swards including some Perennial Ryegrass &amp; some permanent grassland</t>
  </si>
  <si>
    <t>I control non-native invasive species (e.g. giant hogweed, Japanese knotweed or Himalayan balsam) as required to protect and enhance the habitat.</t>
  </si>
  <si>
    <r>
      <t>Why?</t>
    </r>
    <r>
      <rPr>
        <sz val="10"/>
        <rFont val="Arial"/>
        <family val="2"/>
      </rPr>
      <t xml:space="preserve"> Natural nest sites for birds such as holes in trees or old buildings are disappearing, providing a nest box with provide an alternative.</t>
    </r>
  </si>
  <si>
    <r>
      <rPr>
        <b/>
        <sz val="10"/>
        <rFont val="Arial"/>
        <family val="2"/>
      </rPr>
      <t>Why?</t>
    </r>
    <r>
      <rPr>
        <sz val="10"/>
        <rFont val="Arial"/>
        <family val="2"/>
      </rPr>
      <t xml:space="preserve"> Bats are natural pest controllers. Consider erecting a bat box where bats are known to feed e.g. along hedgerows, field margins and waterways.</t>
    </r>
  </si>
  <si>
    <t>Sq. root x 4 for total perimeter</t>
  </si>
  <si>
    <t>The buffer is kept clear of all other materials (e.g. no dumping of cut material or farm waste)</t>
  </si>
  <si>
    <t>Native wildflower species are introduced into the existing sward (e.g. yellow rattle by seed or plug plants)</t>
  </si>
  <si>
    <t>Select your answer from the drop down list</t>
  </si>
  <si>
    <r>
      <rPr>
        <b/>
        <sz val="12"/>
        <rFont val="Arial"/>
        <family val="2"/>
      </rPr>
      <t>Score 1: % Habitat Score:</t>
    </r>
    <r>
      <rPr>
        <sz val="12"/>
        <rFont val="Arial"/>
        <family val="2"/>
      </rPr>
      <t xml:space="preserve">
By completing this page you will receive a % Habitat Score for your farm.
The information added to this page is required to calculate the % Habitat score of your farm, field boundary averages and total areas of habitat. 
Any values you enter on this page will be transferred to the appropriate section throughout the tool.</t>
    </r>
  </si>
  <si>
    <t>Dairy</t>
  </si>
  <si>
    <t>Beef Cattle</t>
  </si>
  <si>
    <t>Suckler Cows</t>
  </si>
  <si>
    <t>Sheep</t>
  </si>
  <si>
    <t>Pigs</t>
  </si>
  <si>
    <t>Poultry</t>
  </si>
  <si>
    <t>Arable</t>
  </si>
  <si>
    <t>Horticulture</t>
  </si>
  <si>
    <t>Vegetables</t>
  </si>
  <si>
    <t>Farm Enterprise Information:</t>
  </si>
  <si>
    <t xml:space="preserve">
Please select from the list which enterprises are found on your farm, please select all that apply:</t>
  </si>
  <si>
    <t>Is at least 1 metre of vegetation from the water edge along the bank of a watercourse left unmowed and/or ungrazed?
(or when mowed, the vegetation is mowed in phases or one bank is left untouched)</t>
  </si>
  <si>
    <t>Diagrams of Results</t>
  </si>
  <si>
    <r>
      <t xml:space="preserve">
What biodiversity-friendly enhancement works could you carry out to help the </t>
    </r>
    <r>
      <rPr>
        <b/>
        <sz val="10"/>
        <rFont val="Arial"/>
        <family val="2"/>
      </rPr>
      <t xml:space="preserve">semi-natural habitat area(s) </t>
    </r>
    <r>
      <rPr>
        <b/>
        <u/>
        <sz val="10"/>
        <rFont val="Arial"/>
        <family val="2"/>
      </rPr>
      <t>or linear</t>
    </r>
    <r>
      <rPr>
        <b/>
        <sz val="10"/>
        <rFont val="Arial"/>
        <family val="2"/>
      </rPr>
      <t xml:space="preserve"> habitats</t>
    </r>
    <r>
      <rPr>
        <sz val="10"/>
        <rFont val="Arial"/>
        <family val="2"/>
      </rPr>
      <t xml:space="preserve"> on your farm?</t>
    </r>
  </si>
  <si>
    <r>
      <t xml:space="preserve">I apply no chemical fertiliser, slurry or lime on non-grassland habitat </t>
    </r>
    <r>
      <rPr>
        <b/>
        <sz val="10"/>
        <rFont val="Arial"/>
        <family val="2"/>
      </rPr>
      <t xml:space="preserve">AND </t>
    </r>
    <r>
      <rPr>
        <sz val="10"/>
        <rFont val="Arial"/>
        <family val="2"/>
      </rPr>
      <t xml:space="preserve">only low rates (&lt; 100kg N/ha) </t>
    </r>
    <r>
      <rPr>
        <b/>
        <sz val="10"/>
        <rFont val="Arial"/>
        <family val="2"/>
      </rPr>
      <t>on unimproved grassland</t>
    </r>
    <r>
      <rPr>
        <sz val="10"/>
        <rFont val="Arial"/>
        <family val="2"/>
      </rPr>
      <t>.</t>
    </r>
  </si>
  <si>
    <t>Winter Stubble</t>
  </si>
  <si>
    <t>Moorland</t>
  </si>
  <si>
    <t>Breeding wader</t>
  </si>
  <si>
    <r>
      <rPr>
        <b/>
        <sz val="10"/>
        <rFont val="Arial"/>
        <family val="2"/>
      </rPr>
      <t>HINT</t>
    </r>
    <r>
      <rPr>
        <sz val="10"/>
        <rFont val="Arial"/>
        <family val="2"/>
      </rPr>
      <t xml:space="preserve">
The edges of the habitats are valuable for biodiversity. Whilst calculating the average widths, we have taken the habitat edge into account. For example, we have stated that the average width of a hedgerow is 2m, this is allowing the hedgerow to be 1m wide with 0.5m rough grassland on both sides. If your hedge or rough grass margin is wider, please amend the average width accordingly.
These figures have been calculated using the Northern Ireland field boundary averages if you have done your own calculations and accurately counted the total length of each boundary please replace the estimate with your accurate answer.</t>
    </r>
  </si>
  <si>
    <r>
      <rPr>
        <b/>
        <sz val="10"/>
        <rFont val="Arial"/>
        <family val="2"/>
      </rPr>
      <t>Semi-natural grasslands:</t>
    </r>
    <r>
      <rPr>
        <sz val="10"/>
        <rFont val="Arial"/>
        <family val="2"/>
      </rPr>
      <t xml:space="preserve">
Areas of grassland consisting of one of the following: Calcareous, Limestone pavement, Lowland dry acid, Meadow and purple moorgrass rush pasture, Lowland meadow or Purple moorgrass and rush pasture</t>
    </r>
  </si>
  <si>
    <r>
      <t xml:space="preserve">Moorland (excluding intact lowland raised bog):
</t>
    </r>
    <r>
      <rPr>
        <sz val="10"/>
        <rFont val="Arial"/>
        <family val="2"/>
      </rPr>
      <t>Areas of blanket bog, upland heath, lowland heath or montane heath</t>
    </r>
  </si>
  <si>
    <r>
      <t xml:space="preserve">Intact lowland raised bog:
</t>
    </r>
    <r>
      <rPr>
        <sz val="10"/>
        <rFont val="Arial"/>
        <family val="2"/>
      </rPr>
      <t xml:space="preserve">Peatland ecosystems, which develop primarily in lowland areas below 150m and are generally surrounded by mineral soils. </t>
    </r>
  </si>
  <si>
    <r>
      <t xml:space="preserve">Coastal habitats:
</t>
    </r>
    <r>
      <rPr>
        <sz val="10"/>
        <rFont val="Arial"/>
        <family val="2"/>
      </rPr>
      <t>Areas of salt marsh, sand dunes or maritime cliff and slopes</t>
    </r>
  </si>
  <si>
    <r>
      <t xml:space="preserve">Wetlands:
</t>
    </r>
    <r>
      <rPr>
        <sz val="10"/>
        <rFont val="Arial"/>
        <family val="2"/>
      </rPr>
      <t>Areas of coastal and flood plain grazing marsh, fen or reedbed</t>
    </r>
  </si>
  <si>
    <r>
      <t xml:space="preserve">Parkland:
</t>
    </r>
    <r>
      <rPr>
        <sz val="10"/>
        <rFont val="Arial"/>
        <family val="2"/>
      </rPr>
      <t>Areas of open grassland with mature trees spaced at various densities within a historic designed landscape.</t>
    </r>
  </si>
  <si>
    <r>
      <t xml:space="preserve">Winter Stubble:
</t>
    </r>
    <r>
      <rPr>
        <sz val="10"/>
        <rFont val="Arial"/>
        <family val="2"/>
      </rPr>
      <t>(no pre-harvest spray and left uncultivated until mid February)</t>
    </r>
  </si>
  <si>
    <t>Please select the county which the majority of your land is in:</t>
  </si>
  <si>
    <t>Please select the country where the majority of your farmland is:</t>
  </si>
  <si>
    <t>Year</t>
  </si>
  <si>
    <t>Farm size</t>
  </si>
  <si>
    <t>Throughout the assessment, where a yellow box appears, please enter your own information.</t>
  </si>
  <si>
    <r>
      <rPr>
        <b/>
        <sz val="10"/>
        <rFont val="Arial"/>
        <family val="2"/>
      </rPr>
      <t xml:space="preserve">Please note: </t>
    </r>
    <r>
      <rPr>
        <sz val="10"/>
        <rFont val="Arial"/>
        <family val="2"/>
      </rPr>
      <t>Many farms will not have any riparian buffer strips
Please enter 0 into the yellow boxes if riparian buffer strips are not present on your farm.</t>
    </r>
  </si>
  <si>
    <r>
      <rPr>
        <b/>
        <sz val="10"/>
        <rFont val="Arial"/>
        <family val="2"/>
      </rPr>
      <t xml:space="preserve">What is your total area of Riparian buffer strips?
</t>
    </r>
    <r>
      <rPr>
        <u/>
        <sz val="10"/>
        <rFont val="Arial"/>
        <family val="2"/>
      </rPr>
      <t>A riparian buffer is a fenced margin beside a watercourse.</t>
    </r>
    <r>
      <rPr>
        <sz val="10"/>
        <rFont val="Arial"/>
        <family val="2"/>
      </rPr>
      <t xml:space="preserve">
 Please enter the total length and the average width of the riparian buffer strips, the total area will calculate automatically:
Please enter 0 into the yellow boxes if riparian buffer strips are not present on your farm.</t>
    </r>
  </si>
  <si>
    <r>
      <t xml:space="preserve">
</t>
    </r>
    <r>
      <rPr>
        <b/>
        <u/>
        <sz val="10"/>
        <rFont val="Arial"/>
        <family val="2"/>
      </rPr>
      <t>Field Margins</t>
    </r>
    <r>
      <rPr>
        <b/>
        <sz val="10"/>
        <rFont val="Arial"/>
        <family val="2"/>
      </rPr>
      <t xml:space="preserve">
</t>
    </r>
    <r>
      <rPr>
        <sz val="10"/>
        <rFont val="Arial"/>
        <family val="2"/>
      </rPr>
      <t xml:space="preserve">
For the following field margins that are present on your farm, please enter the total area (hectares) of each, excluding riparian strips.
Please enter 0 into the yellow boxes if field margins are not present on your farm.</t>
    </r>
  </si>
  <si>
    <r>
      <rPr>
        <b/>
        <sz val="10"/>
        <rFont val="Arial"/>
        <family val="2"/>
      </rPr>
      <t>Please note:</t>
    </r>
    <r>
      <rPr>
        <sz val="10"/>
        <rFont val="Arial"/>
        <family val="2"/>
      </rPr>
      <t xml:space="preserve"> Many farms will not have any field margins 
Please enter 0 into the yellow boxes if field margins are not present on your farm.</t>
    </r>
  </si>
  <si>
    <t>To calculate the above field boundary lengths, did you use the estimated figures or did you calculate your own field boundary lengths?</t>
  </si>
  <si>
    <t xml:space="preserve">Dairy
</t>
  </si>
  <si>
    <t xml:space="preserve">Beef Cattle
</t>
  </si>
  <si>
    <t xml:space="preserve">Sheep
</t>
  </si>
  <si>
    <t xml:space="preserve">Pigs
</t>
  </si>
  <si>
    <t xml:space="preserve">Poultry
</t>
  </si>
  <si>
    <t xml:space="preserve">Arable
</t>
  </si>
  <si>
    <t xml:space="preserve">Horticulture
</t>
  </si>
  <si>
    <t xml:space="preserve">Vegetables
</t>
  </si>
  <si>
    <t xml:space="preserve">Other
</t>
  </si>
  <si>
    <r>
      <rPr>
        <b/>
        <sz val="10"/>
        <rFont val="Arial"/>
        <family val="2"/>
      </rPr>
      <t>Country</t>
    </r>
    <r>
      <rPr>
        <sz val="10"/>
        <rFont val="Arial"/>
        <family val="2"/>
      </rPr>
      <t xml:space="preserve"> (NI=3, ROI=2, Other=1)</t>
    </r>
  </si>
  <si>
    <r>
      <rPr>
        <b/>
        <sz val="10"/>
        <rFont val="Arial"/>
        <family val="2"/>
      </rPr>
      <t>County</t>
    </r>
    <r>
      <rPr>
        <sz val="10"/>
        <rFont val="Arial"/>
        <family val="2"/>
      </rPr>
      <t xml:space="preserve">
(Down=1, Armagh=2, Fermanagh=3, Tyrone=4, Derry/Londonderry=5, Antrim=6)</t>
    </r>
  </si>
  <si>
    <r>
      <rPr>
        <b/>
        <sz val="10"/>
        <rFont val="Arial"/>
        <family val="2"/>
      </rPr>
      <t>Main Land Type</t>
    </r>
    <r>
      <rPr>
        <sz val="10"/>
        <rFont val="Arial"/>
        <family val="2"/>
      </rPr>
      <t xml:space="preserve"> (LL=3, DA=2, SDA=1)</t>
    </r>
  </si>
  <si>
    <r>
      <rPr>
        <b/>
        <sz val="10"/>
        <rFont val="Arial"/>
        <family val="2"/>
      </rPr>
      <t>Figures used for field boundary calculations</t>
    </r>
    <r>
      <rPr>
        <sz val="10"/>
        <rFont val="Arial"/>
        <family val="2"/>
      </rPr>
      <t xml:space="preserve"> (1 = Yes - used est. figures)</t>
    </r>
  </si>
  <si>
    <r>
      <rPr>
        <b/>
        <sz val="10"/>
        <rFont val="Arial"/>
        <family val="2"/>
      </rPr>
      <t>Average field size &lt; 5ha</t>
    </r>
    <r>
      <rPr>
        <sz val="10"/>
        <rFont val="Arial"/>
        <family val="2"/>
      </rPr>
      <t xml:space="preserve"> (Max. 50)</t>
    </r>
  </si>
  <si>
    <r>
      <rPr>
        <b/>
        <sz val="10"/>
        <rFont val="Arial"/>
        <family val="2"/>
      </rPr>
      <t>Crop diversity - grassland</t>
    </r>
    <r>
      <rPr>
        <sz val="10"/>
        <rFont val="Arial"/>
        <family val="2"/>
      </rPr>
      <t xml:space="preserve"> (Max. 50)</t>
    </r>
  </si>
  <si>
    <r>
      <rPr>
        <b/>
        <sz val="10"/>
        <rFont val="Arial"/>
        <family val="2"/>
      </rPr>
      <t>Crop diversity - arable crops</t>
    </r>
    <r>
      <rPr>
        <sz val="10"/>
        <rFont val="Arial"/>
        <family val="2"/>
      </rPr>
      <t xml:space="preserve"> (Max. 50)</t>
    </r>
  </si>
  <si>
    <r>
      <rPr>
        <b/>
        <sz val="10"/>
        <rFont val="Arial"/>
        <family val="2"/>
      </rPr>
      <t>Biodiversity-friendly practices on grassland</t>
    </r>
    <r>
      <rPr>
        <sz val="10"/>
        <rFont val="Arial"/>
        <family val="2"/>
      </rPr>
      <t xml:space="preserve"> (Max. 70)</t>
    </r>
  </si>
  <si>
    <r>
      <rPr>
        <b/>
        <sz val="10"/>
        <rFont val="Arial"/>
        <family val="2"/>
      </rPr>
      <t>Biodiversity-friendly practices on arable crops</t>
    </r>
    <r>
      <rPr>
        <sz val="10"/>
        <rFont val="Arial"/>
        <family val="2"/>
      </rPr>
      <t xml:space="preserve"> (Max. 70)</t>
    </r>
  </si>
  <si>
    <r>
      <rPr>
        <b/>
        <sz val="10"/>
        <rFont val="Arial"/>
        <family val="2"/>
      </rPr>
      <t>Woodland Habitats</t>
    </r>
    <r>
      <rPr>
        <sz val="10"/>
        <rFont val="Arial"/>
        <family val="2"/>
      </rPr>
      <t xml:space="preserve"> (Max. 100)</t>
    </r>
  </si>
  <si>
    <r>
      <t>Biodiversity-friendly practices linked to watercourses</t>
    </r>
    <r>
      <rPr>
        <sz val="10"/>
        <rFont val="Arial"/>
        <family val="2"/>
      </rPr>
      <t xml:space="preserve"> (Max. 60)</t>
    </r>
  </si>
  <si>
    <r>
      <rPr>
        <b/>
        <sz val="10"/>
        <rFont val="Arial"/>
        <family val="2"/>
      </rPr>
      <t>Biodiversity-friendly practices linked to farm building/farmyard(s)</t>
    </r>
    <r>
      <rPr>
        <sz val="10"/>
        <rFont val="Arial"/>
        <family val="2"/>
      </rPr>
      <t xml:space="preserve"> (Max. 50)</t>
    </r>
  </si>
  <si>
    <r>
      <rPr>
        <b/>
        <sz val="10"/>
        <rFont val="Arial"/>
        <family val="2"/>
      </rPr>
      <t>Organic farming</t>
    </r>
    <r>
      <rPr>
        <sz val="10"/>
        <rFont val="Arial"/>
        <family val="2"/>
      </rPr>
      <t xml:space="preserve"> (Max. 130)</t>
    </r>
  </si>
  <si>
    <r>
      <rPr>
        <b/>
        <sz val="10"/>
        <rFont val="Arial"/>
        <family val="2"/>
      </rPr>
      <t>PPP use</t>
    </r>
    <r>
      <rPr>
        <sz val="10"/>
        <rFont val="Arial"/>
        <family val="2"/>
      </rPr>
      <t xml:space="preserve"> (Max. 100)</t>
    </r>
  </si>
  <si>
    <r>
      <rPr>
        <b/>
        <sz val="10"/>
        <rFont val="Arial"/>
        <family val="2"/>
      </rPr>
      <t>Biodiversity-friendly practices linked to PPP use</t>
    </r>
    <r>
      <rPr>
        <sz val="10"/>
        <rFont val="Arial"/>
        <family val="2"/>
      </rPr>
      <t xml:space="preserve"> (Max. 320)</t>
    </r>
  </si>
  <si>
    <r>
      <rPr>
        <b/>
        <sz val="10"/>
        <rFont val="Arial"/>
        <family val="2"/>
      </rPr>
      <t>Biodiversity-friendly management measures carried out to help connect the biodiversity on your farm to the wider landscape</t>
    </r>
    <r>
      <rPr>
        <sz val="10"/>
        <rFont val="Arial"/>
        <family val="2"/>
      </rPr>
      <t xml:space="preserve"> (Max. 40)</t>
    </r>
  </si>
  <si>
    <r>
      <rPr>
        <b/>
        <sz val="10"/>
        <rFont val="Arial"/>
        <family val="2"/>
      </rPr>
      <t>Types of areas of grass and flowering plants that are not for production</t>
    </r>
    <r>
      <rPr>
        <sz val="10"/>
        <rFont val="Arial"/>
        <family val="2"/>
      </rPr>
      <t xml:space="preserve"> (Max. 120)</t>
    </r>
  </si>
  <si>
    <r>
      <rPr>
        <b/>
        <sz val="10"/>
        <rFont val="Arial"/>
        <family val="2"/>
      </rPr>
      <t xml:space="preserve">Biodiversity-friendly practices linked to riparian buffers </t>
    </r>
    <r>
      <rPr>
        <sz val="10"/>
        <rFont val="Arial"/>
        <family val="2"/>
      </rPr>
      <t>(Max. 200)</t>
    </r>
  </si>
  <si>
    <r>
      <rPr>
        <b/>
        <sz val="10"/>
        <rFont val="Arial"/>
        <family val="2"/>
      </rPr>
      <t>Biodiversity-friendly practices linked to hedgerows</t>
    </r>
    <r>
      <rPr>
        <sz val="10"/>
        <rFont val="Arial"/>
        <family val="2"/>
      </rPr>
      <t xml:space="preserve"> (Max. 360)</t>
    </r>
  </si>
  <si>
    <r>
      <rPr>
        <b/>
        <sz val="10"/>
        <rFont val="Arial"/>
        <family val="2"/>
      </rPr>
      <t>Biodiversity-friendly practices linked to your existing stone walls or earth banks/brus</t>
    </r>
    <r>
      <rPr>
        <sz val="10"/>
        <rFont val="Arial"/>
        <family val="2"/>
      </rPr>
      <t xml:space="preserve"> (Max. 200)</t>
    </r>
  </si>
  <si>
    <r>
      <rPr>
        <b/>
        <sz val="10"/>
        <rFont val="Arial"/>
        <family val="2"/>
      </rPr>
      <t>Biodiversity-friendly management measures linked to semi-natural habitat areas</t>
    </r>
    <r>
      <rPr>
        <sz val="10"/>
        <rFont val="Arial"/>
        <family val="2"/>
      </rPr>
      <t xml:space="preserve"> (Max. 560)</t>
    </r>
  </si>
  <si>
    <r>
      <rPr>
        <b/>
        <sz val="10"/>
        <rFont val="Arial"/>
        <family val="2"/>
      </rPr>
      <t xml:space="preserve">Is any of this land managed within an agri-environment scheme? </t>
    </r>
    <r>
      <rPr>
        <sz val="10"/>
        <rFont val="Arial"/>
        <family val="2"/>
      </rPr>
      <t>(All = 3, Some = 2, None = 1)</t>
    </r>
  </si>
  <si>
    <t>% Habitat Score</t>
  </si>
  <si>
    <t>Land Use</t>
  </si>
  <si>
    <t>General</t>
  </si>
  <si>
    <t>Linear</t>
  </si>
  <si>
    <t>Area</t>
  </si>
  <si>
    <t>Total areas</t>
  </si>
  <si>
    <t>Total Score</t>
  </si>
  <si>
    <t>Client Reference Number</t>
  </si>
  <si>
    <t>Total area of Field Margins (ha)</t>
  </si>
  <si>
    <t>Total area of Riparian Buffers (ha)</t>
  </si>
  <si>
    <t>Total area of hedgerows (ha)</t>
  </si>
  <si>
    <t>Total area of all other field boundary habitats (ha)</t>
  </si>
  <si>
    <t>Total areas of semi-natural habitats that are found on farm (ha)</t>
  </si>
  <si>
    <t>Total area of linear habitats on farm (ha)</t>
  </si>
  <si>
    <t>Total area of land based habitats on farm (ha)</t>
  </si>
  <si>
    <t>Total hectares of non-habitat area (ha)</t>
  </si>
  <si>
    <t>Total hectares of habitat area (ha)</t>
  </si>
  <si>
    <r>
      <t xml:space="preserve">Land use biodiversity assessment score </t>
    </r>
    <r>
      <rPr>
        <sz val="10"/>
        <rFont val="Arial"/>
        <family val="2"/>
      </rPr>
      <t>(Max. 380)</t>
    </r>
  </si>
  <si>
    <r>
      <t xml:space="preserve">General biodiversity assessment score </t>
    </r>
    <r>
      <rPr>
        <sz val="10"/>
        <rFont val="Arial"/>
        <family val="2"/>
      </rPr>
      <t>(Max. 700)</t>
    </r>
  </si>
  <si>
    <r>
      <t xml:space="preserve">Linear habitat biodiversity assessment score </t>
    </r>
    <r>
      <rPr>
        <sz val="10"/>
        <rFont val="Arial"/>
        <family val="2"/>
      </rPr>
      <t>(Max. 880)</t>
    </r>
  </si>
  <si>
    <r>
      <t xml:space="preserve">Area habitat biodiversity assessment score </t>
    </r>
    <r>
      <rPr>
        <sz val="10"/>
        <rFont val="Arial"/>
        <family val="2"/>
      </rPr>
      <t>(Max. 560)</t>
    </r>
  </si>
  <si>
    <r>
      <t xml:space="preserve">Total biodiversity assessment score - Benchmark 2 </t>
    </r>
    <r>
      <rPr>
        <sz val="10"/>
        <rFont val="Arial"/>
        <family val="2"/>
      </rPr>
      <t>(Max. 2520)</t>
    </r>
  </si>
  <si>
    <t>Benchmark 1 - % Habitat Score</t>
  </si>
  <si>
    <t>Benchmark 2 - Total biodiversity assessment score</t>
  </si>
  <si>
    <t>Total biodiversity assessment score
Benchmark 2</t>
  </si>
  <si>
    <t>Biodiversity Assessment - Summary of Results</t>
  </si>
  <si>
    <r>
      <rPr>
        <b/>
        <sz val="10"/>
        <rFont val="Arial"/>
        <family val="2"/>
      </rPr>
      <t xml:space="preserve">Note: </t>
    </r>
    <r>
      <rPr>
        <sz val="10"/>
        <rFont val="Arial"/>
        <family val="2"/>
      </rPr>
      <t>For the purposes of this assessment, the total hectares of winter stubble is divided by 2 as it is only available for 6 months of the year.</t>
    </r>
  </si>
  <si>
    <r>
      <t xml:space="preserve">Which of the following would be the farms </t>
    </r>
    <r>
      <rPr>
        <b/>
        <sz val="10"/>
        <rFont val="Arial"/>
        <family val="2"/>
      </rPr>
      <t>main land type</t>
    </r>
    <r>
      <rPr>
        <sz val="10"/>
        <rFont val="Arial"/>
        <family val="2"/>
      </rPr>
      <t>:</t>
    </r>
  </si>
  <si>
    <r>
      <rPr>
        <b/>
        <sz val="10"/>
        <rFont val="Arial"/>
        <family val="2"/>
      </rPr>
      <t xml:space="preserve">Note: </t>
    </r>
    <r>
      <rPr>
        <sz val="10"/>
        <rFont val="Arial"/>
        <family val="2"/>
      </rPr>
      <t>Include unimproved grassland which is never cultivated, is dominated by natural species and receives no or little slurry or fertiliser.</t>
    </r>
  </si>
  <si>
    <t>Hints &amp; Tips</t>
  </si>
  <si>
    <t>Equine</t>
  </si>
  <si>
    <t>1.2 Grassland and arable information:</t>
  </si>
  <si>
    <t>Do you farm organically (either in conversion or fully converted)?</t>
  </si>
  <si>
    <t>Do you restore your hedges on a long rotation?</t>
  </si>
  <si>
    <t>Do you have field boundaries suitable for new hedge planting on your farm?</t>
  </si>
  <si>
    <t xml:space="preserve">
Woodland and Water Habitats</t>
  </si>
  <si>
    <t>Yes - All of my land</t>
  </si>
  <si>
    <t>Yes - Part of my land</t>
  </si>
  <si>
    <t>No score assigned but recorded to aid future advice from CAFRE.</t>
  </si>
  <si>
    <t xml:space="preserve">
4.1</t>
  </si>
  <si>
    <r>
      <rPr>
        <u/>
        <sz val="10"/>
        <rFont val="Arial"/>
        <family val="2"/>
      </rPr>
      <t>I retain some dead wood as habitat piles.</t>
    </r>
    <r>
      <rPr>
        <sz val="10"/>
        <rFont val="Arial"/>
        <family val="2"/>
      </rPr>
      <t xml:space="preserve">
</t>
    </r>
    <r>
      <rPr>
        <b/>
        <sz val="10"/>
        <rFont val="Arial"/>
        <family val="2"/>
      </rPr>
      <t>Why?</t>
    </r>
    <r>
      <rPr>
        <sz val="10"/>
        <rFont val="Arial"/>
        <family val="2"/>
      </rPr>
      <t xml:space="preserve"> Woodpiles are a valuable habitat for mosses, lichens and fungi, as well as insects. Birds and bats will then feed on these insects.</t>
    </r>
  </si>
  <si>
    <r>
      <rPr>
        <u/>
        <sz val="10"/>
        <rFont val="Arial"/>
        <family val="2"/>
      </rPr>
      <t>I control soft rush, scrub and bracken as required to protect and enhance the habitat.</t>
    </r>
    <r>
      <rPr>
        <sz val="10"/>
        <rFont val="Arial"/>
        <family val="2"/>
      </rPr>
      <t xml:space="preserve">
</t>
    </r>
    <r>
      <rPr>
        <b/>
        <sz val="10"/>
        <rFont val="Arial"/>
        <family val="2"/>
      </rPr>
      <t>Why?</t>
    </r>
    <r>
      <rPr>
        <sz val="10"/>
        <rFont val="Arial"/>
        <family val="2"/>
      </rPr>
      <t xml:space="preserve"> This will prevent these species from becoming dominant in the semi-natural grassland pasture.</t>
    </r>
  </si>
  <si>
    <r>
      <t xml:space="preserve">Welcome to the CAFRE Bio-Tool. The aim of this tool is to give you two scores; firstly, the percentage habitat on your farm and secondly, how the habitat is managed. 
                                                                                                                                                                                                                                                                                Each farm is unique and not directly comparable. The score is for your own use, to both acknowledge what your farm already does and suggest ways for your situation where the farm could develop. Not every question contributes to the score but can contribute to your summary report or suggested actions. 
Please answer the questions as accurately as possible, as the farm and your knowledge is today. The tool can then be stored on your computer and edited in future years.
When you have completed the assessment tool, we ask you to email the completed assessment tool to: </t>
    </r>
    <r>
      <rPr>
        <u/>
        <sz val="11"/>
        <color rgb="FF0000FF"/>
        <rFont val="Arial"/>
        <family val="2"/>
      </rPr>
      <t>CAFREFarmBioTool@cafre.ac.uk</t>
    </r>
    <r>
      <rPr>
        <sz val="11"/>
        <rFont val="Arial"/>
        <family val="2"/>
      </rPr>
      <t xml:space="preserve">
This will allow CAFRE staff to compare and analyse results from a range of different enterprise types.
The information that you provide in this tool </t>
    </r>
    <r>
      <rPr>
        <b/>
        <sz val="11"/>
        <rFont val="Arial"/>
        <family val="2"/>
      </rPr>
      <t xml:space="preserve">will </t>
    </r>
    <r>
      <rPr>
        <b/>
        <u/>
        <sz val="11"/>
        <rFont val="Arial"/>
        <family val="2"/>
      </rPr>
      <t>not</t>
    </r>
    <r>
      <rPr>
        <sz val="11"/>
        <rFont val="Arial"/>
        <family val="2"/>
      </rPr>
      <t xml:space="preserve"> be linked to your DAERA farm business number.</t>
    </r>
  </si>
  <si>
    <t>Hints and tips on how to complete the tool:</t>
  </si>
  <si>
    <r>
      <t xml:space="preserve">To begin, please read the following information, this will help you successfully complete the tool. Throughout the tool each page contains hints and tips to help you answer the question. </t>
    </r>
    <r>
      <rPr>
        <b/>
        <u/>
        <sz val="11"/>
        <rFont val="Arial"/>
        <family val="2"/>
      </rPr>
      <t>Below is an example of the assessment questions</t>
    </r>
    <r>
      <rPr>
        <b/>
        <sz val="11"/>
        <rFont val="Arial"/>
        <family val="2"/>
      </rPr>
      <t xml:space="preserve">, you cannot edit this screenshot. 
</t>
    </r>
    <r>
      <rPr>
        <sz val="11"/>
        <rFont val="Arial"/>
        <family val="2"/>
      </rPr>
      <t xml:space="preserve">
The first page of questions will be % Habitat Score Worksheet. Any information you enter onto this page will automatically transfer the information to any white boxes throughout the assessment for you.</t>
    </r>
  </si>
  <si>
    <t>Below is an example of the assessment questions, you cannot edit this screenshot.
When you have read the example, please click on the large blue box below the screenshot to calculate your farms % Habitat Score.</t>
  </si>
  <si>
    <t>This section will calculate the farms' field boundaries.
 To get  the most accurate result from this tool, we advise that you measure the total length and average width and enter the totals into the appropriate category below.
However, to assist you with this calculation, we have developed the table below to provide you with an estimate of each field boundary based upon the Northern Ireland field boundary averages. The calculation is based on the field size information you inserted above. This figure will be used to calculate the total area of field boundaries which will contribute towards your % habitat score. You can use the estimates for the purposes of completing this biodiversity assessment tool.</t>
  </si>
  <si>
    <t>BENCHMARK 1 TARGET - 10% farm area is Semi Natural habitat</t>
  </si>
  <si>
    <r>
      <t xml:space="preserve">
Which of the following </t>
    </r>
    <r>
      <rPr>
        <b/>
        <sz val="10"/>
        <rFont val="Arial"/>
        <family val="2"/>
      </rPr>
      <t>areas are found on your farm that are not for production</t>
    </r>
    <r>
      <rPr>
        <sz val="10"/>
        <rFont val="Arial"/>
        <family val="2"/>
      </rPr>
      <t>?
Select yes from the drop down list for each area that is found on the farm.</t>
    </r>
  </si>
  <si>
    <t xml:space="preserve">Only applicable if arable crops are present. If arable crops are not grown, please go to the next question.
Farmer selects yes or no for each of the statements.
                                                                                                                                                                                                                                                                                              </t>
  </si>
  <si>
    <t>Only applicable if grass is present, if grass is not grown, please go to the next question.
Farmer selects yes or no for each of the statements.</t>
  </si>
  <si>
    <t>Farmer selects yes or no for each of the habitats.</t>
  </si>
  <si>
    <t>Farmer selects yes or no for each of the statements.</t>
  </si>
  <si>
    <t xml:space="preserve">
Farmer selects yes or no for each of the statements.</t>
  </si>
  <si>
    <t>Farmer selects answer from list. Calculation takes account of partial organic farm.</t>
  </si>
  <si>
    <t>Farmer selects one of three categories.
No score assigned as this is outside of farmers control. Recorded as a possible discussion point / CAFRE advice.</t>
  </si>
  <si>
    <t>Margin areas contribute to % habitat score.</t>
  </si>
  <si>
    <t>Used for % habitat calculation not score.</t>
  </si>
  <si>
    <t>Farmer selects the most appropriate answer from the list. The answer can be yes or no or frequency of the statement.
Always
Often
Sometimes
Rarely
Never
If the statement is not applicable to the farm, please select N/A.</t>
  </si>
  <si>
    <t>Farmer selects frequency of the statement.
Always
Often
Sometimes
Rarely
Never
If the statement is not applicable to the farm, please select N/A.</t>
  </si>
  <si>
    <t>Farmer selects frequency of the statement:
Always
Often
Sometimes
Rarely
Never
Response to be completed for all statements where habitat is recorded as present. If habitat is not present, record as Not Applicable (N/A).</t>
  </si>
  <si>
    <t>Northern Ireland</t>
  </si>
  <si>
    <r>
      <rPr>
        <b/>
        <sz val="10"/>
        <rFont val="Arial"/>
        <family val="2"/>
      </rPr>
      <t>Other enterprises</t>
    </r>
    <r>
      <rPr>
        <sz val="10"/>
        <rFont val="Arial"/>
        <family val="2"/>
      </rPr>
      <t xml:space="preserve">
Please enter any other enterprises into the yellow box, which are not listed above e.g. winter grazing of store lambs.</t>
    </r>
  </si>
  <si>
    <r>
      <t xml:space="preserve">Benchmark 1 - % Habitat Score for your farm
</t>
    </r>
    <r>
      <rPr>
        <sz val="10"/>
        <rFont val="Arial"/>
        <family val="2"/>
      </rPr>
      <t>This section will provide you with the first score of the Biodiversity Assessment Tool. This result indicates how much of your farm is classed as habitat.</t>
    </r>
    <r>
      <rPr>
        <b/>
        <sz val="10"/>
        <rFont val="Arial"/>
        <family val="2"/>
      </rPr>
      <t xml:space="preserve">
</t>
    </r>
    <r>
      <rPr>
        <sz val="10"/>
        <rFont val="Arial"/>
        <family val="2"/>
      </rPr>
      <t>Please note that this tool has been developed to cover a very wide range of farms. The range of scores will vary from 1% to 100% % habitat area, the % habitat area will vary depending on the farms situation e.g. lowland or upland and level of production.
The score is individual to your farm and is for your own use to acknowledge the biodiversity habitats that your farm already provides.</t>
    </r>
  </si>
  <si>
    <r>
      <t xml:space="preserve">On your farm, do your field boundaries consist of hedgerows only? 
</t>
    </r>
    <r>
      <rPr>
        <sz val="10"/>
        <color theme="0"/>
        <rFont val="Arial"/>
        <family val="2"/>
      </rPr>
      <t xml:space="preserve">Please select </t>
    </r>
    <r>
      <rPr>
        <u/>
        <sz val="10"/>
        <color theme="0"/>
        <rFont val="Arial"/>
        <family val="2"/>
      </rPr>
      <t>mix</t>
    </r>
    <r>
      <rPr>
        <sz val="10"/>
        <color theme="0"/>
        <rFont val="Arial"/>
        <family val="2"/>
      </rPr>
      <t xml:space="preserve"> if you have some hedgerows along with dry stone walls, earth or sod banks, mortared stone walls or ruined stone walls or stone banks</t>
    </r>
  </si>
  <si>
    <r>
      <t xml:space="preserve">Which of the following options is most appropriate to describe the </t>
    </r>
    <r>
      <rPr>
        <b/>
        <sz val="10"/>
        <rFont val="Arial"/>
        <family val="2"/>
      </rPr>
      <t>grassland</t>
    </r>
    <r>
      <rPr>
        <sz val="10"/>
        <rFont val="Arial"/>
        <family val="2"/>
      </rPr>
      <t xml:space="preserve"> on your farm:</t>
    </r>
  </si>
  <si>
    <r>
      <t xml:space="preserve">Add up the number of fields that appear on your farm map </t>
    </r>
    <r>
      <rPr>
        <b/>
        <sz val="10"/>
        <rFont val="Arial"/>
        <family val="2"/>
      </rPr>
      <t>EXCLUDING</t>
    </r>
    <r>
      <rPr>
        <sz val="10"/>
        <rFont val="Arial"/>
        <family val="2"/>
      </rPr>
      <t xml:space="preserve"> any mountain areas (moorland and rough grazing) and/or strips less than 0.2ha e.g. exclude any riparian strips which may be classed as separate fields on your farm map.</t>
    </r>
  </si>
  <si>
    <t>Using the grassland (field ground) and arable areas on your farm that you entered above, we have calculated your average field (hectares) size to be:</t>
  </si>
  <si>
    <r>
      <t xml:space="preserve">Please enter total hectares that you farm, </t>
    </r>
    <r>
      <rPr>
        <b/>
        <sz val="10"/>
        <rFont val="Arial"/>
        <family val="2"/>
      </rPr>
      <t>and</t>
    </r>
    <r>
      <rPr>
        <sz val="10"/>
        <rFont val="Arial"/>
        <family val="2"/>
      </rPr>
      <t xml:space="preserve"> areas of woodland or habitat.</t>
    </r>
  </si>
  <si>
    <r>
      <t xml:space="preserve">Please include the total area of grassland used for grazing or silage (field ground) </t>
    </r>
    <r>
      <rPr>
        <b/>
        <sz val="10"/>
        <rFont val="Arial"/>
        <family val="2"/>
      </rPr>
      <t>EXCLUDING</t>
    </r>
    <r>
      <rPr>
        <sz val="10"/>
        <rFont val="Arial"/>
        <family val="2"/>
      </rPr>
      <t xml:space="preserve"> moorland and rough grazing.</t>
    </r>
  </si>
  <si>
    <r>
      <t xml:space="preserve">When completing the assessment, to move to the next question, please use the </t>
    </r>
    <r>
      <rPr>
        <u/>
        <sz val="11"/>
        <rFont val="Arial"/>
        <family val="2"/>
      </rPr>
      <t>right arrow key on your keyboard</t>
    </r>
    <r>
      <rPr>
        <sz val="11"/>
        <rFont val="Arial"/>
        <family val="2"/>
      </rPr>
      <t>.
To move to the next page, please click on the blue boxes.</t>
    </r>
  </si>
  <si>
    <r>
      <rPr>
        <b/>
        <sz val="10"/>
        <rFont val="Arial"/>
        <family val="2"/>
      </rPr>
      <t>Total land area</t>
    </r>
    <r>
      <rPr>
        <sz val="10"/>
        <rFont val="Arial"/>
        <family val="2"/>
      </rPr>
      <t xml:space="preserve"> (not just your MEA):</t>
    </r>
  </si>
  <si>
    <r>
      <t>In hectares, what is the</t>
    </r>
    <r>
      <rPr>
        <b/>
        <sz val="10"/>
        <rFont val="Arial"/>
        <family val="2"/>
      </rPr>
      <t xml:space="preserve"> total area of grassland (field ground)</t>
    </r>
    <r>
      <rPr>
        <sz val="10"/>
        <rFont val="Arial"/>
        <family val="2"/>
      </rPr>
      <t xml:space="preserve"> on your farm:</t>
    </r>
  </si>
  <si>
    <r>
      <t xml:space="preserve">In hectares, what is the </t>
    </r>
    <r>
      <rPr>
        <b/>
        <sz val="10"/>
        <rFont val="Arial"/>
        <family val="2"/>
      </rPr>
      <t>total area of arable cropping</t>
    </r>
    <r>
      <rPr>
        <sz val="10"/>
        <rFont val="Arial"/>
        <family val="2"/>
      </rPr>
      <t xml:space="preserve"> on your farm:</t>
    </r>
  </si>
  <si>
    <t>Version</t>
  </si>
  <si>
    <t>This page is a summary of your results. 
This summary will be used to transfer your results to a master page to allow CAFRE staff to compare and analyse results.
If at this stage you wish to amend an answer, please return to the question earlier in the BioTool and do so there.
The information that you have provided in this tool will not be linked to your DAERA farm business number.</t>
  </si>
  <si>
    <r>
      <rPr>
        <b/>
        <sz val="10"/>
        <rFont val="Arial"/>
        <family val="2"/>
      </rPr>
      <t>Total number of fields,</t>
    </r>
    <r>
      <rPr>
        <sz val="10"/>
        <rFont val="Arial"/>
        <family val="2"/>
      </rPr>
      <t xml:space="preserve"> include grassland (field ground) and arable fields:</t>
    </r>
  </si>
  <si>
    <t>Semi-natural Grasslands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</si>
</sst>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General\ &quot;ha&quot;"/>
    <numFmt numFmtId="166" formatCode="0.000%"/>
  </numFmts>
  <fonts count="51" x14ac:knownFonts="1">
    <font>
      <sz val="10"/>
      <name val="Arial"/>
    </font>
    <font>
      <sz val="10"/>
      <name val="Arial"/>
      <family val="2"/>
    </font>
    <font>
      <b/>
      <sz val="10"/>
      <name val="Arial"/>
      <family val="2"/>
    </font>
    <font>
      <sz val="11"/>
      <color rgb="FF006100"/>
      <name val="Calibri"/>
      <family val="2"/>
      <scheme val="minor"/>
    </font>
    <font>
      <b/>
      <sz val="18"/>
      <name val="Arial"/>
      <family val="2"/>
    </font>
    <font>
      <b/>
      <sz val="12"/>
      <name val="Arial"/>
      <family val="2"/>
    </font>
    <font>
      <sz val="12"/>
      <name val="Arial"/>
      <family val="2"/>
    </font>
    <font>
      <b/>
      <i/>
      <sz val="10"/>
      <name val="Arial"/>
      <family val="2"/>
    </font>
    <font>
      <b/>
      <sz val="14"/>
      <name val="Arial"/>
      <family val="2"/>
    </font>
    <font>
      <sz val="14"/>
      <name val="Arial"/>
      <family val="2"/>
    </font>
    <font>
      <sz val="12"/>
      <color rgb="FF0000FF"/>
      <name val="Arial"/>
      <family val="2"/>
    </font>
    <font>
      <b/>
      <sz val="10"/>
      <color rgb="FFFF0000"/>
      <name val="Arial"/>
      <family val="2"/>
    </font>
    <font>
      <sz val="12"/>
      <color rgb="FFFF0000"/>
      <name val="Arial"/>
      <family val="2"/>
    </font>
    <font>
      <sz val="12"/>
      <color theme="0"/>
      <name val="Arial"/>
      <family val="2"/>
    </font>
    <font>
      <b/>
      <sz val="12"/>
      <color theme="0"/>
      <name val="Arial"/>
      <family val="2"/>
    </font>
    <font>
      <sz val="10"/>
      <name val="Arial"/>
      <family val="2"/>
    </font>
    <font>
      <sz val="12"/>
      <color rgb="FF000000"/>
      <name val="Arial"/>
      <family val="2"/>
    </font>
    <font>
      <sz val="11"/>
      <name val="Arial"/>
      <family val="2"/>
    </font>
    <font>
      <b/>
      <sz val="16"/>
      <color theme="0"/>
      <name val="Arial"/>
      <family val="2"/>
    </font>
    <font>
      <sz val="11"/>
      <color rgb="FF1F497D"/>
      <name val="Symbol"/>
      <family val="1"/>
      <charset val="2"/>
    </font>
    <font>
      <b/>
      <sz val="11"/>
      <name val="Arial"/>
      <family val="2"/>
    </font>
    <font>
      <sz val="10"/>
      <color rgb="FF0000FF"/>
      <name val="Arial"/>
      <family val="2"/>
    </font>
    <font>
      <i/>
      <sz val="10"/>
      <name val="Arial"/>
      <family val="2"/>
    </font>
    <font>
      <b/>
      <sz val="10"/>
      <color theme="0"/>
      <name val="Arial"/>
      <family val="2"/>
    </font>
    <font>
      <sz val="10"/>
      <color theme="0"/>
      <name val="Arial"/>
      <family val="2"/>
    </font>
    <font>
      <sz val="10"/>
      <color rgb="FF000000"/>
      <name val="Arial"/>
      <family val="2"/>
    </font>
    <font>
      <sz val="10"/>
      <color theme="0" tint="-0.249977111117893"/>
      <name val="Arial"/>
      <family val="2"/>
    </font>
    <font>
      <sz val="10"/>
      <color rgb="FFFF0000"/>
      <name val="Arial"/>
      <family val="2"/>
    </font>
    <font>
      <b/>
      <sz val="10"/>
      <color rgb="FF0000FF"/>
      <name val="Arial"/>
      <family val="2"/>
    </font>
    <font>
      <b/>
      <sz val="10"/>
      <color rgb="FFC00000"/>
      <name val="Arial"/>
      <family val="2"/>
    </font>
    <font>
      <u/>
      <sz val="10"/>
      <color theme="10"/>
      <name val="Arial"/>
      <family val="2"/>
    </font>
    <font>
      <u/>
      <sz val="10"/>
      <color theme="0"/>
      <name val="Arial"/>
      <family val="2"/>
    </font>
    <font>
      <i/>
      <sz val="10"/>
      <color theme="4" tint="-0.249977111117893"/>
      <name val="Arial"/>
      <family val="2"/>
    </font>
    <font>
      <b/>
      <sz val="11"/>
      <color theme="1"/>
      <name val="Calibri"/>
      <family val="2"/>
      <scheme val="minor"/>
    </font>
    <font>
      <sz val="11"/>
      <color rgb="FFFF0000"/>
      <name val="Arial"/>
      <family val="2"/>
    </font>
    <font>
      <i/>
      <sz val="12"/>
      <color rgb="FFDD0055"/>
      <name val="Arial"/>
      <family val="2"/>
    </font>
    <font>
      <b/>
      <u/>
      <sz val="10"/>
      <name val="Arial"/>
      <family val="2"/>
    </font>
    <font>
      <b/>
      <u/>
      <sz val="14"/>
      <name val="Arial"/>
      <family val="2"/>
    </font>
    <font>
      <sz val="11"/>
      <color theme="0"/>
      <name val="Arial"/>
      <family val="2"/>
    </font>
    <font>
      <sz val="14"/>
      <color rgb="FFFF0000"/>
      <name val="Arial"/>
      <family val="2"/>
    </font>
    <font>
      <sz val="11"/>
      <name val="Calibri"/>
      <family val="2"/>
    </font>
    <font>
      <b/>
      <sz val="20"/>
      <name val="Arial"/>
      <family val="2"/>
    </font>
    <font>
      <sz val="10"/>
      <color theme="1"/>
      <name val="Arial"/>
      <family val="2"/>
    </font>
    <font>
      <u/>
      <sz val="10"/>
      <name val="Arial"/>
      <family val="2"/>
    </font>
    <font>
      <u/>
      <sz val="11"/>
      <color rgb="FF0000FF"/>
      <name val="Arial"/>
      <family val="2"/>
    </font>
    <font>
      <sz val="8"/>
      <name val="Arial"/>
      <family val="2"/>
    </font>
    <font>
      <sz val="16"/>
      <color rgb="FFFFFFFF"/>
      <name val="Arial"/>
      <family val="2"/>
    </font>
    <font>
      <b/>
      <u/>
      <sz val="11"/>
      <name val="Arial"/>
      <family val="2"/>
    </font>
    <font>
      <sz val="9"/>
      <color theme="0"/>
      <name val="Arial"/>
      <family val="2"/>
    </font>
    <font>
      <sz val="12"/>
      <color theme="0"/>
      <name val="Calibri"/>
      <family val="2"/>
      <scheme val="minor"/>
    </font>
    <font>
      <u/>
      <sz val="11"/>
      <name val="Arial"/>
      <family val="2"/>
    </font>
  </fonts>
  <fills count="22">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59999389629810485"/>
        <bgColor indexed="64"/>
      </patternFill>
    </fill>
    <fill>
      <patternFill patternType="solid">
        <fgColor theme="6"/>
        <bgColor indexed="64"/>
      </patternFill>
    </fill>
    <fill>
      <patternFill patternType="solid">
        <fgColor rgb="FFFFFFCC"/>
        <bgColor indexed="64"/>
      </patternFill>
    </fill>
    <fill>
      <patternFill patternType="solid">
        <fgColor theme="0"/>
        <bgColor indexed="64"/>
      </patternFill>
    </fill>
    <fill>
      <patternFill patternType="solid">
        <fgColor rgb="FFB8E08C"/>
        <bgColor indexed="64"/>
      </patternFill>
    </fill>
    <fill>
      <patternFill patternType="solid">
        <fgColor rgb="FFE3F3D1"/>
        <bgColor indexed="64"/>
      </patternFill>
    </fill>
    <fill>
      <patternFill patternType="solid">
        <fgColor rgb="FFFFFF7D"/>
        <bgColor indexed="64"/>
      </patternFill>
    </fill>
    <fill>
      <patternFill patternType="solid">
        <fgColor rgb="FFF1F17B"/>
        <bgColor indexed="64"/>
      </patternFill>
    </fill>
    <fill>
      <patternFill patternType="solid">
        <fgColor theme="4" tint="-0.249977111117893"/>
        <bgColor indexed="64"/>
      </patternFill>
    </fill>
    <fill>
      <patternFill patternType="solid">
        <fgColor rgb="FFDDD9C4"/>
        <bgColor indexed="64"/>
      </patternFill>
    </fill>
    <fill>
      <patternFill patternType="solid">
        <fgColor rgb="FF92D050"/>
        <bgColor indexed="64"/>
      </patternFill>
    </fill>
    <fill>
      <patternFill patternType="solid">
        <fgColor theme="7" tint="0.59999389629810485"/>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rgb="FF5F9127"/>
      </left>
      <right/>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164" fontId="1" fillId="0" borderId="0" applyFont="0" applyFill="0" applyBorder="0" applyAlignment="0" applyProtection="0"/>
    <xf numFmtId="0" fontId="1" fillId="0" borderId="0"/>
    <xf numFmtId="0" fontId="1" fillId="0" borderId="0"/>
    <xf numFmtId="0" fontId="3" fillId="2" borderId="0" applyNumberFormat="0" applyBorder="0" applyAlignment="0" applyProtection="0"/>
    <xf numFmtId="9" fontId="15" fillId="0" borderId="0" applyFont="0" applyFill="0" applyBorder="0" applyAlignment="0" applyProtection="0"/>
    <xf numFmtId="0" fontId="30" fillId="0" borderId="0" applyNumberFormat="0" applyFill="0" applyBorder="0" applyAlignment="0" applyProtection="0"/>
  </cellStyleXfs>
  <cellXfs count="958">
    <xf numFmtId="0" fontId="0" fillId="0" borderId="0" xfId="0"/>
    <xf numFmtId="0" fontId="0" fillId="0" borderId="0" xfId="0" applyAlignment="1">
      <alignment horizontal="left"/>
    </xf>
    <xf numFmtId="0" fontId="7" fillId="0" borderId="0" xfId="0" applyFont="1"/>
    <xf numFmtId="0" fontId="2" fillId="0" borderId="0" xfId="0" applyFont="1"/>
    <xf numFmtId="0" fontId="1" fillId="0" borderId="0" xfId="0" applyFont="1" applyAlignment="1">
      <alignment horizontal="left"/>
    </xf>
    <xf numFmtId="0" fontId="1" fillId="0" borderId="0" xfId="0" applyFont="1"/>
    <xf numFmtId="0" fontId="9" fillId="0" borderId="0" xfId="0" applyFont="1"/>
    <xf numFmtId="0" fontId="8" fillId="0" borderId="0" xfId="0" applyFont="1"/>
    <xf numFmtId="0" fontId="17" fillId="0" borderId="0" xfId="0" applyFont="1" applyAlignment="1">
      <alignment vertical="center" wrapText="1"/>
    </xf>
    <xf numFmtId="0" fontId="19"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center" vertical="center" wrapText="1"/>
    </xf>
    <xf numFmtId="0" fontId="13" fillId="3" borderId="0" xfId="0" applyFont="1" applyFill="1" applyAlignment="1">
      <alignment vertical="center"/>
    </xf>
    <xf numFmtId="0" fontId="13" fillId="0" borderId="0" xfId="0" applyFont="1" applyAlignment="1">
      <alignment vertical="center"/>
    </xf>
    <xf numFmtId="0" fontId="6" fillId="0" borderId="0" xfId="0" applyFont="1" applyAlignment="1">
      <alignment vertical="center" wrapText="1"/>
    </xf>
    <xf numFmtId="0" fontId="10" fillId="0" borderId="0" xfId="0" applyFont="1" applyAlignment="1">
      <alignment vertical="center" wrapText="1"/>
    </xf>
    <xf numFmtId="0" fontId="12" fillId="0" borderId="0" xfId="0" applyFont="1" applyAlignment="1">
      <alignment vertical="center"/>
    </xf>
    <xf numFmtId="0" fontId="0" fillId="0" borderId="0" xfId="0" applyAlignment="1">
      <alignment wrapText="1"/>
    </xf>
    <xf numFmtId="0" fontId="1" fillId="0" borderId="0" xfId="0" applyFont="1" applyAlignment="1">
      <alignment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1" fillId="0" borderId="62" xfId="0" applyFont="1" applyBorder="1" applyAlignment="1">
      <alignment horizontal="center" vertical="center" wrapText="1"/>
    </xf>
    <xf numFmtId="0" fontId="21" fillId="0" borderId="0" xfId="0" applyFont="1" applyAlignment="1">
      <alignment vertical="center" wrapText="1"/>
    </xf>
    <xf numFmtId="0" fontId="1" fillId="0" borderId="0" xfId="0" applyFont="1" applyAlignment="1">
      <alignment horizontal="center" vertical="center"/>
    </xf>
    <xf numFmtId="0" fontId="21" fillId="0" borderId="0" xfId="0" applyFont="1" applyAlignment="1">
      <alignment horizontal="center" vertical="center"/>
    </xf>
    <xf numFmtId="0" fontId="2" fillId="14" borderId="48" xfId="0" applyFont="1" applyFill="1" applyBorder="1" applyAlignment="1">
      <alignment horizontal="center" vertical="center" wrapText="1"/>
    </xf>
    <xf numFmtId="0" fontId="21" fillId="0" borderId="39" xfId="0" applyFont="1" applyBorder="1" applyAlignment="1">
      <alignment horizontal="center" vertical="center"/>
    </xf>
    <xf numFmtId="0" fontId="1" fillId="5" borderId="15" xfId="0" applyFont="1" applyFill="1" applyBorder="1" applyAlignment="1">
      <alignment vertical="center" wrapText="1"/>
    </xf>
    <xf numFmtId="0" fontId="1" fillId="0" borderId="3" xfId="0" applyFont="1" applyBorder="1" applyAlignment="1">
      <alignment vertical="center" wrapText="1"/>
    </xf>
    <xf numFmtId="0" fontId="21" fillId="14" borderId="30" xfId="0" applyFont="1" applyFill="1" applyBorder="1" applyAlignment="1" applyProtection="1">
      <alignment horizontal="center" vertical="center"/>
      <protection locked="0"/>
    </xf>
    <xf numFmtId="0" fontId="1" fillId="0" borderId="1" xfId="0" applyFont="1" applyBorder="1" applyAlignment="1">
      <alignment vertical="center" wrapText="1"/>
    </xf>
    <xf numFmtId="0" fontId="21" fillId="14" borderId="25" xfId="0" applyFont="1" applyFill="1" applyBorder="1" applyAlignment="1" applyProtection="1">
      <alignment horizontal="center" vertical="center"/>
      <protection locked="0"/>
    </xf>
    <xf numFmtId="0" fontId="21" fillId="17" borderId="1" xfId="0" applyFont="1" applyFill="1" applyBorder="1" applyAlignment="1" applyProtection="1">
      <alignment vertical="center" wrapText="1"/>
      <protection locked="0"/>
    </xf>
    <xf numFmtId="0" fontId="21" fillId="17" borderId="24" xfId="0" applyFont="1" applyFill="1" applyBorder="1" applyAlignment="1" applyProtection="1">
      <alignment vertical="center" wrapText="1"/>
      <protection locked="0"/>
    </xf>
    <xf numFmtId="0" fontId="1" fillId="0" borderId="1" xfId="0" applyFont="1" applyBorder="1" applyAlignment="1">
      <alignment vertical="center"/>
    </xf>
    <xf numFmtId="0" fontId="21" fillId="17" borderId="20" xfId="0" applyFont="1" applyFill="1" applyBorder="1" applyAlignment="1" applyProtection="1">
      <alignment vertical="center" wrapText="1"/>
      <protection locked="0"/>
    </xf>
    <xf numFmtId="0" fontId="1" fillId="0" borderId="15" xfId="0" applyFont="1" applyBorder="1" applyAlignment="1">
      <alignment vertical="center"/>
    </xf>
    <xf numFmtId="0" fontId="21" fillId="14" borderId="16" xfId="0" applyFont="1" applyFill="1" applyBorder="1" applyAlignment="1" applyProtection="1">
      <alignment horizontal="center" vertical="center"/>
      <protection locked="0"/>
    </xf>
    <xf numFmtId="0" fontId="1" fillId="0" borderId="1" xfId="0" applyFont="1" applyBorder="1" applyAlignment="1">
      <alignment horizontal="left" vertical="center"/>
    </xf>
    <xf numFmtId="0" fontId="21" fillId="14" borderId="26" xfId="0" applyFont="1" applyFill="1" applyBorder="1" applyAlignment="1" applyProtection="1">
      <alignment horizontal="center" vertical="center"/>
      <protection locked="0"/>
    </xf>
    <xf numFmtId="0" fontId="23" fillId="0" borderId="0" xfId="0" applyFont="1" applyAlignment="1">
      <alignment horizontal="center" vertical="center"/>
    </xf>
    <xf numFmtId="0" fontId="1" fillId="0" borderId="0" xfId="0" applyFont="1" applyAlignment="1">
      <alignment vertical="top" wrapText="1"/>
    </xf>
    <xf numFmtId="0" fontId="1" fillId="0" borderId="0" xfId="0" applyFont="1" applyAlignment="1">
      <alignment horizontal="left" vertical="top" wrapText="1"/>
    </xf>
    <xf numFmtId="0" fontId="21" fillId="14" borderId="0" xfId="0" applyFont="1" applyFill="1" applyAlignment="1">
      <alignment horizontal="center" vertical="center"/>
    </xf>
    <xf numFmtId="0" fontId="21" fillId="14" borderId="48" xfId="0" applyFont="1" applyFill="1" applyBorder="1" applyAlignment="1" applyProtection="1">
      <alignment horizontal="center" vertical="center" wrapText="1"/>
      <protection locked="0"/>
    </xf>
    <xf numFmtId="0" fontId="21" fillId="17" borderId="2" xfId="0" applyFont="1" applyFill="1" applyBorder="1" applyAlignment="1" applyProtection="1">
      <alignment vertical="center" wrapText="1"/>
      <protection locked="0"/>
    </xf>
    <xf numFmtId="0" fontId="21" fillId="14" borderId="16" xfId="0" applyFont="1" applyFill="1" applyBorder="1" applyAlignment="1" applyProtection="1">
      <alignment horizontal="center" vertical="center" wrapText="1"/>
      <protection locked="0"/>
    </xf>
    <xf numFmtId="0" fontId="21" fillId="14" borderId="21" xfId="0" applyFont="1" applyFill="1" applyBorder="1" applyAlignment="1" applyProtection="1">
      <alignment horizontal="center" vertical="center"/>
      <protection locked="0"/>
    </xf>
    <xf numFmtId="0" fontId="21" fillId="14" borderId="25" xfId="0" applyFont="1" applyFill="1" applyBorder="1" applyAlignment="1" applyProtection="1">
      <alignment horizontal="center" vertical="center" wrapText="1"/>
      <protection locked="0"/>
    </xf>
    <xf numFmtId="0" fontId="21" fillId="14" borderId="26" xfId="0" applyFont="1" applyFill="1" applyBorder="1" applyAlignment="1" applyProtection="1">
      <alignment horizontal="center" vertical="center" wrapText="1"/>
      <protection locked="0"/>
    </xf>
    <xf numFmtId="0" fontId="1" fillId="0" borderId="15" xfId="0" applyFont="1" applyBorder="1" applyAlignment="1">
      <alignment vertical="center" wrapText="1"/>
    </xf>
    <xf numFmtId="0" fontId="1" fillId="0" borderId="2" xfId="0" applyFont="1" applyBorder="1" applyAlignment="1">
      <alignment vertical="center" wrapText="1"/>
    </xf>
    <xf numFmtId="0" fontId="1" fillId="0" borderId="20" xfId="0" applyFont="1" applyBorder="1" applyAlignment="1">
      <alignment vertical="center" wrapText="1"/>
    </xf>
    <xf numFmtId="0" fontId="1" fillId="14" borderId="5"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Alignment="1">
      <alignment horizontal="center" vertical="center" wrapText="1"/>
    </xf>
    <xf numFmtId="0" fontId="21" fillId="0" borderId="0" xfId="0" applyFont="1" applyAlignment="1">
      <alignment vertical="center"/>
    </xf>
    <xf numFmtId="0" fontId="2" fillId="7" borderId="4" xfId="0" applyFont="1" applyFill="1" applyBorder="1" applyAlignment="1">
      <alignment horizontal="center" vertical="center" wrapText="1"/>
    </xf>
    <xf numFmtId="0" fontId="2" fillId="5" borderId="2" xfId="0" applyFont="1" applyFill="1" applyBorder="1" applyAlignment="1">
      <alignment vertical="center" wrapText="1"/>
    </xf>
    <xf numFmtId="0" fontId="2" fillId="0" borderId="11" xfId="0" applyFont="1" applyBorder="1" applyAlignment="1">
      <alignment vertical="center"/>
    </xf>
    <xf numFmtId="0" fontId="2" fillId="0" borderId="55" xfId="0" applyFont="1" applyBorder="1" applyAlignment="1">
      <alignment vertical="center"/>
    </xf>
    <xf numFmtId="0" fontId="2" fillId="0" borderId="46" xfId="0" applyFont="1" applyBorder="1" applyAlignment="1">
      <alignment vertical="center"/>
    </xf>
    <xf numFmtId="0" fontId="21" fillId="7" borderId="12" xfId="0" applyFont="1" applyFill="1" applyBorder="1" applyAlignment="1">
      <alignment horizontal="center" vertical="center"/>
    </xf>
    <xf numFmtId="0" fontId="21" fillId="5" borderId="4" xfId="0" applyFont="1" applyFill="1" applyBorder="1" applyAlignment="1">
      <alignment vertical="center"/>
    </xf>
    <xf numFmtId="0" fontId="21" fillId="5" borderId="18" xfId="0" applyFont="1" applyFill="1" applyBorder="1" applyAlignment="1">
      <alignment vertical="center"/>
    </xf>
    <xf numFmtId="0" fontId="21" fillId="7" borderId="66" xfId="0" applyFont="1" applyFill="1" applyBorder="1" applyAlignment="1">
      <alignment horizontal="center" vertical="center"/>
    </xf>
    <xf numFmtId="0" fontId="21" fillId="5" borderId="8" xfId="0" applyFont="1" applyFill="1" applyBorder="1" applyAlignment="1">
      <alignment vertical="center"/>
    </xf>
    <xf numFmtId="0" fontId="21" fillId="5" borderId="25" xfId="0" applyFont="1" applyFill="1" applyBorder="1" applyAlignment="1">
      <alignment vertical="center"/>
    </xf>
    <xf numFmtId="0" fontId="21" fillId="6" borderId="67" xfId="0" applyFont="1" applyFill="1" applyBorder="1" applyAlignment="1">
      <alignment horizontal="center" vertical="center"/>
    </xf>
    <xf numFmtId="0" fontId="21" fillId="5" borderId="39" xfId="0" applyFont="1" applyFill="1" applyBorder="1" applyAlignment="1">
      <alignment vertical="center"/>
    </xf>
    <xf numFmtId="0" fontId="21" fillId="5" borderId="26" xfId="0" applyFont="1" applyFill="1" applyBorder="1" applyAlignment="1">
      <alignment vertical="center"/>
    </xf>
    <xf numFmtId="0" fontId="2" fillId="0" borderId="43" xfId="0" applyFont="1" applyBorder="1" applyAlignment="1">
      <alignment vertical="center"/>
    </xf>
    <xf numFmtId="0" fontId="2" fillId="0" borderId="40" xfId="0" applyFont="1" applyBorder="1" applyAlignment="1">
      <alignment vertical="center"/>
    </xf>
    <xf numFmtId="0" fontId="21" fillId="6" borderId="50" xfId="0" applyFont="1" applyFill="1" applyBorder="1" applyAlignment="1">
      <alignment horizontal="center" vertical="center" wrapText="1"/>
    </xf>
    <xf numFmtId="0" fontId="21" fillId="5" borderId="22" xfId="0" applyFont="1" applyFill="1" applyBorder="1" applyAlignment="1">
      <alignment horizontal="right" vertical="center"/>
    </xf>
    <xf numFmtId="0" fontId="21" fillId="5" borderId="23" xfId="0" applyFont="1" applyFill="1" applyBorder="1" applyAlignment="1">
      <alignment vertical="center" wrapText="1"/>
    </xf>
    <xf numFmtId="0" fontId="21" fillId="6" borderId="11" xfId="0" applyFont="1" applyFill="1" applyBorder="1" applyAlignment="1">
      <alignment horizontal="center" vertical="center" wrapText="1"/>
    </xf>
    <xf numFmtId="0" fontId="21" fillId="5" borderId="50" xfId="0" applyFont="1" applyFill="1" applyBorder="1" applyAlignment="1">
      <alignment horizontal="right" vertical="center"/>
    </xf>
    <xf numFmtId="0" fontId="21" fillId="6" borderId="55" xfId="0" applyFont="1" applyFill="1" applyBorder="1" applyAlignment="1">
      <alignment horizontal="center" vertical="center"/>
    </xf>
    <xf numFmtId="0" fontId="21" fillId="6" borderId="62" xfId="0" applyFont="1" applyFill="1" applyBorder="1" applyAlignment="1">
      <alignment horizontal="center" vertical="center"/>
    </xf>
    <xf numFmtId="0" fontId="21" fillId="6" borderId="63" xfId="0" applyFont="1" applyFill="1" applyBorder="1" applyAlignment="1">
      <alignment horizontal="center" vertical="center"/>
    </xf>
    <xf numFmtId="0" fontId="21" fillId="6" borderId="59" xfId="0" applyFont="1" applyFill="1" applyBorder="1" applyAlignment="1">
      <alignment horizontal="center" vertical="center"/>
    </xf>
    <xf numFmtId="0" fontId="21" fillId="6" borderId="38" xfId="0" applyFont="1" applyFill="1" applyBorder="1" applyAlignment="1">
      <alignment horizontal="center" vertical="center" wrapText="1"/>
    </xf>
    <xf numFmtId="0" fontId="21" fillId="5" borderId="6" xfId="0" applyFont="1" applyFill="1" applyBorder="1" applyAlignment="1">
      <alignment horizontal="right" vertical="center"/>
    </xf>
    <xf numFmtId="0" fontId="21" fillId="5" borderId="56" xfId="0" applyFont="1" applyFill="1" applyBorder="1" applyAlignment="1">
      <alignment vertical="center"/>
    </xf>
    <xf numFmtId="0" fontId="21" fillId="6" borderId="0" xfId="0" applyFont="1" applyFill="1" applyAlignment="1">
      <alignment horizontal="center" vertical="center" wrapText="1"/>
    </xf>
    <xf numFmtId="0" fontId="21" fillId="5" borderId="5" xfId="0" applyFont="1" applyFill="1" applyBorder="1" applyAlignment="1">
      <alignment horizontal="right" vertical="center"/>
    </xf>
    <xf numFmtId="0" fontId="28" fillId="5" borderId="30" xfId="0" applyFont="1" applyFill="1" applyBorder="1" applyAlignment="1">
      <alignment horizontal="center" vertical="center"/>
    </xf>
    <xf numFmtId="1" fontId="28" fillId="7" borderId="39" xfId="0" applyNumberFormat="1" applyFont="1" applyFill="1" applyBorder="1" applyAlignment="1">
      <alignment horizontal="center" vertical="center"/>
    </xf>
    <xf numFmtId="0" fontId="28" fillId="5" borderId="26" xfId="0" applyFont="1" applyFill="1" applyBorder="1" applyAlignment="1">
      <alignment horizontal="center" vertical="center"/>
    </xf>
    <xf numFmtId="0" fontId="6" fillId="0" borderId="0" xfId="0" applyFont="1"/>
    <xf numFmtId="0" fontId="1" fillId="0" borderId="6" xfId="0" applyFont="1" applyBorder="1" applyAlignment="1">
      <alignment vertical="center" wrapText="1"/>
    </xf>
    <xf numFmtId="0" fontId="2" fillId="0" borderId="3" xfId="0" applyFont="1" applyBorder="1" applyAlignment="1">
      <alignment vertical="center" wrapText="1"/>
    </xf>
    <xf numFmtId="0" fontId="17" fillId="0" borderId="0" xfId="0" applyFont="1" applyAlignment="1">
      <alignment horizontal="left" vertical="center" indent="5"/>
    </xf>
    <xf numFmtId="0" fontId="6" fillId="0" borderId="10" xfId="0" applyFont="1" applyBorder="1" applyAlignment="1">
      <alignment vertical="center"/>
    </xf>
    <xf numFmtId="0" fontId="6" fillId="0" borderId="41" xfId="0" applyFont="1" applyBorder="1" applyAlignment="1">
      <alignment vertical="center"/>
    </xf>
    <xf numFmtId="0" fontId="6" fillId="0" borderId="61" xfId="0" applyFont="1" applyBorder="1" applyAlignment="1">
      <alignment vertical="center"/>
    </xf>
    <xf numFmtId="0" fontId="17" fillId="0" borderId="0" xfId="0" applyFont="1"/>
    <xf numFmtId="0" fontId="17" fillId="0" borderId="0" xfId="0" applyFont="1" applyAlignment="1">
      <alignment vertical="top" wrapText="1"/>
    </xf>
    <xf numFmtId="0" fontId="17" fillId="0" borderId="0" xfId="0" applyFont="1" applyAlignment="1">
      <alignment horizontal="left" vertical="center" wrapText="1"/>
    </xf>
    <xf numFmtId="0" fontId="20" fillId="0" borderId="0" xfId="0" applyFont="1" applyAlignment="1">
      <alignment vertical="center" wrapText="1"/>
    </xf>
    <xf numFmtId="0" fontId="17" fillId="0" borderId="0" xfId="0" applyFont="1" applyAlignment="1">
      <alignment vertical="center"/>
    </xf>
    <xf numFmtId="0" fontId="21" fillId="5" borderId="28" xfId="0" applyFont="1" applyFill="1" applyBorder="1" applyAlignment="1">
      <alignment horizontal="right" vertical="center" wrapText="1"/>
    </xf>
    <xf numFmtId="0" fontId="13" fillId="0" borderId="0" xfId="0" applyFont="1"/>
    <xf numFmtId="0" fontId="20" fillId="0" borderId="0" xfId="0" applyFont="1" applyAlignment="1">
      <alignment horizontal="center" vertical="center" textRotation="90" wrapText="1"/>
    </xf>
    <xf numFmtId="0" fontId="33" fillId="0" borderId="0" xfId="0" applyFont="1" applyAlignment="1">
      <alignment wrapText="1"/>
    </xf>
    <xf numFmtId="2" fontId="0" fillId="0" borderId="0" xfId="0" applyNumberFormat="1"/>
    <xf numFmtId="0" fontId="17" fillId="0" borderId="41" xfId="0" applyFont="1" applyBorder="1" applyAlignment="1">
      <alignment horizontal="center" vertical="center" wrapText="1"/>
    </xf>
    <xf numFmtId="0" fontId="17" fillId="0" borderId="0" xfId="0" applyFont="1" applyAlignment="1">
      <alignment horizontal="center" vertical="center" wrapText="1"/>
    </xf>
    <xf numFmtId="0" fontId="20" fillId="0" borderId="0" xfId="0" applyFont="1" applyAlignment="1">
      <alignment vertical="center" textRotation="90" wrapText="1"/>
    </xf>
    <xf numFmtId="1" fontId="17" fillId="0" borderId="0" xfId="0" applyNumberFormat="1" applyFont="1"/>
    <xf numFmtId="2" fontId="17" fillId="0" borderId="0" xfId="0" applyNumberFormat="1" applyFont="1"/>
    <xf numFmtId="0" fontId="1" fillId="5" borderId="28" xfId="0" applyFont="1" applyFill="1" applyBorder="1" applyAlignment="1">
      <alignment vertical="center"/>
    </xf>
    <xf numFmtId="0" fontId="1" fillId="5" borderId="32" xfId="0" applyFont="1" applyFill="1" applyBorder="1" applyAlignment="1">
      <alignment vertical="center"/>
    </xf>
    <xf numFmtId="0" fontId="1" fillId="5" borderId="33" xfId="0" applyFont="1" applyFill="1" applyBorder="1" applyAlignment="1">
      <alignment vertical="center"/>
    </xf>
    <xf numFmtId="0" fontId="21" fillId="5" borderId="23" xfId="0" applyFont="1" applyFill="1" applyBorder="1" applyAlignment="1">
      <alignment vertical="center"/>
    </xf>
    <xf numFmtId="0" fontId="21" fillId="5" borderId="21" xfId="0" applyFont="1" applyFill="1" applyBorder="1" applyAlignment="1">
      <alignment vertical="center"/>
    </xf>
    <xf numFmtId="0" fontId="21" fillId="5" borderId="33" xfId="0" applyFont="1" applyFill="1" applyBorder="1" applyAlignment="1">
      <alignment vertical="center" wrapText="1"/>
    </xf>
    <xf numFmtId="0" fontId="2" fillId="5" borderId="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1" fillId="8" borderId="38" xfId="0" applyFont="1" applyFill="1" applyBorder="1" applyAlignment="1">
      <alignment horizontal="center" vertical="center"/>
    </xf>
    <xf numFmtId="0" fontId="21" fillId="5" borderId="15" xfId="0" applyFont="1" applyFill="1" applyBorder="1" applyAlignment="1">
      <alignment horizontal="center" vertical="center"/>
    </xf>
    <xf numFmtId="0" fontId="21" fillId="8" borderId="8" xfId="0" applyFont="1" applyFill="1" applyBorder="1" applyAlignment="1">
      <alignment horizontal="center" vertical="center"/>
    </xf>
    <xf numFmtId="0" fontId="21" fillId="5" borderId="1" xfId="0" applyFont="1" applyFill="1" applyBorder="1" applyAlignment="1">
      <alignment horizontal="center" vertical="center"/>
    </xf>
    <xf numFmtId="0" fontId="21" fillId="8" borderId="5" xfId="0" applyFont="1" applyFill="1" applyBorder="1" applyAlignment="1">
      <alignment horizontal="center" vertical="center"/>
    </xf>
    <xf numFmtId="0" fontId="21" fillId="5" borderId="16" xfId="0" applyFont="1" applyFill="1" applyBorder="1" applyAlignment="1">
      <alignment horizontal="center" vertical="center"/>
    </xf>
    <xf numFmtId="0" fontId="21" fillId="5" borderId="25" xfId="0" applyFont="1" applyFill="1" applyBorder="1" applyAlignment="1">
      <alignment horizontal="center" vertical="center"/>
    </xf>
    <xf numFmtId="0" fontId="21" fillId="8" borderId="4"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18" xfId="0" applyFont="1" applyFill="1" applyBorder="1" applyAlignment="1">
      <alignment horizontal="center" vertical="center"/>
    </xf>
    <xf numFmtId="0" fontId="21" fillId="6" borderId="8" xfId="0" applyFont="1" applyFill="1" applyBorder="1" applyAlignment="1">
      <alignment horizontal="center" vertical="center"/>
    </xf>
    <xf numFmtId="0" fontId="21" fillId="6" borderId="39" xfId="0" applyFont="1" applyFill="1" applyBorder="1" applyAlignment="1">
      <alignment horizontal="center" vertical="center"/>
    </xf>
    <xf numFmtId="0" fontId="21" fillId="5" borderId="26" xfId="0" applyFont="1" applyFill="1" applyBorder="1" applyAlignment="1">
      <alignment horizontal="center" vertical="center"/>
    </xf>
    <xf numFmtId="0" fontId="21" fillId="8" borderId="13" xfId="0" applyFont="1" applyFill="1" applyBorder="1" applyAlignment="1">
      <alignment horizontal="center" vertical="center"/>
    </xf>
    <xf numFmtId="0" fontId="21" fillId="5" borderId="30" xfId="0" applyFont="1" applyFill="1" applyBorder="1" applyAlignment="1">
      <alignment horizontal="center" vertical="center"/>
    </xf>
    <xf numFmtId="0" fontId="21" fillId="5" borderId="74" xfId="0" applyFont="1" applyFill="1" applyBorder="1" applyAlignment="1">
      <alignment horizontal="center" vertical="center"/>
    </xf>
    <xf numFmtId="0" fontId="29" fillId="5" borderId="0" xfId="0" applyFont="1" applyFill="1" applyAlignment="1">
      <alignment horizontal="center" vertical="center"/>
    </xf>
    <xf numFmtId="1" fontId="21" fillId="8" borderId="39" xfId="0" applyNumberFormat="1" applyFont="1" applyFill="1" applyBorder="1" applyAlignment="1">
      <alignment horizontal="center" vertical="center"/>
    </xf>
    <xf numFmtId="0" fontId="1" fillId="5" borderId="20" xfId="0" applyFont="1" applyFill="1" applyBorder="1" applyAlignment="1">
      <alignment horizontal="center" vertical="center"/>
    </xf>
    <xf numFmtId="0" fontId="1" fillId="5" borderId="21" xfId="0" applyFont="1" applyFill="1" applyBorder="1" applyAlignment="1">
      <alignment horizontal="center" vertical="center"/>
    </xf>
    <xf numFmtId="0" fontId="20" fillId="0" borderId="0" xfId="0" applyFont="1" applyAlignment="1">
      <alignment wrapText="1"/>
    </xf>
    <xf numFmtId="165" fontId="0" fillId="0" borderId="0" xfId="0" applyNumberFormat="1"/>
    <xf numFmtId="0" fontId="34" fillId="0" borderId="0" xfId="0" applyFont="1" applyAlignment="1">
      <alignment vertical="center" wrapText="1"/>
    </xf>
    <xf numFmtId="0" fontId="1" fillId="5" borderId="60" xfId="0" applyFont="1" applyFill="1" applyBorder="1" applyAlignment="1">
      <alignment vertical="center" wrapText="1"/>
    </xf>
    <xf numFmtId="0" fontId="6" fillId="0" borderId="5" xfId="0" applyFont="1" applyBorder="1" applyAlignment="1">
      <alignment vertical="center" wrapText="1"/>
    </xf>
    <xf numFmtId="0" fontId="28" fillId="7" borderId="13" xfId="0" applyFont="1" applyFill="1" applyBorder="1" applyAlignment="1">
      <alignment horizontal="center" vertical="center"/>
    </xf>
    <xf numFmtId="0" fontId="2" fillId="8" borderId="19" xfId="0" applyFont="1" applyFill="1" applyBorder="1" applyAlignment="1">
      <alignment horizontal="center" vertical="center" wrapText="1"/>
    </xf>
    <xf numFmtId="0" fontId="21" fillId="8" borderId="29" xfId="0" applyFont="1" applyFill="1" applyBorder="1" applyAlignment="1">
      <alignment horizontal="center" vertical="center"/>
    </xf>
    <xf numFmtId="0" fontId="1" fillId="8" borderId="6" xfId="0" applyFont="1" applyFill="1" applyBorder="1" applyAlignment="1">
      <alignment horizontal="center" vertical="center"/>
    </xf>
    <xf numFmtId="0" fontId="21" fillId="17" borderId="6" xfId="0" applyFont="1" applyFill="1" applyBorder="1" applyAlignment="1" applyProtection="1">
      <alignment vertical="center" wrapText="1"/>
      <protection locked="0"/>
    </xf>
    <xf numFmtId="0" fontId="21" fillId="14" borderId="18" xfId="0" applyFont="1" applyFill="1" applyBorder="1" applyAlignment="1" applyProtection="1">
      <alignment horizontal="center" vertical="center"/>
      <protection locked="0"/>
    </xf>
    <xf numFmtId="0" fontId="12" fillId="0" borderId="0" xfId="0" applyFont="1" applyAlignment="1">
      <alignment vertical="center" wrapText="1"/>
    </xf>
    <xf numFmtId="2" fontId="21" fillId="13" borderId="26" xfId="0" applyNumberFormat="1" applyFont="1" applyFill="1" applyBorder="1" applyAlignment="1">
      <alignment horizontal="center" vertical="center"/>
    </xf>
    <xf numFmtId="0" fontId="17" fillId="0" borderId="59" xfId="0" applyFont="1" applyBorder="1" applyAlignment="1">
      <alignment vertical="center"/>
    </xf>
    <xf numFmtId="0" fontId="38" fillId="0" borderId="0" xfId="0" applyFont="1" applyAlignment="1">
      <alignment horizontal="left" vertical="center" wrapText="1"/>
    </xf>
    <xf numFmtId="0" fontId="17" fillId="0" borderId="0" xfId="0" applyFont="1" applyAlignment="1">
      <alignment horizontal="center"/>
    </xf>
    <xf numFmtId="0" fontId="17" fillId="0" borderId="0" xfId="0" applyFont="1" applyAlignment="1">
      <alignment horizontal="center" vertical="center"/>
    </xf>
    <xf numFmtId="0" fontId="1" fillId="5" borderId="20" xfId="0" applyFont="1" applyFill="1" applyBorder="1" applyAlignment="1">
      <alignment vertical="center" wrapText="1"/>
    </xf>
    <xf numFmtId="0" fontId="39" fillId="0" borderId="0" xfId="0" applyFont="1"/>
    <xf numFmtId="0" fontId="6" fillId="13" borderId="0" xfId="0" applyFont="1" applyFill="1" applyAlignment="1">
      <alignment horizontal="center" vertical="center" wrapText="1"/>
    </xf>
    <xf numFmtId="0" fontId="21" fillId="5" borderId="56"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5" borderId="14" xfId="0" applyFont="1" applyFill="1" applyBorder="1" applyAlignment="1">
      <alignment horizontal="center" vertical="center"/>
    </xf>
    <xf numFmtId="0" fontId="21" fillId="14" borderId="18" xfId="0" applyFont="1" applyFill="1" applyBorder="1" applyAlignment="1" applyProtection="1">
      <alignment horizontal="center" vertical="center" wrapText="1"/>
      <protection locked="0"/>
    </xf>
    <xf numFmtId="0" fontId="21" fillId="5" borderId="6" xfId="0" applyFont="1" applyFill="1" applyBorder="1" applyAlignment="1">
      <alignment horizontal="center" vertical="center"/>
    </xf>
    <xf numFmtId="0" fontId="1" fillId="5" borderId="24" xfId="0" applyFont="1" applyFill="1" applyBorder="1" applyAlignment="1">
      <alignment horizontal="center" vertical="center" wrapText="1"/>
    </xf>
    <xf numFmtId="0" fontId="8" fillId="0" borderId="0" xfId="0" applyFont="1" applyAlignment="1">
      <alignment vertical="center" wrapText="1"/>
    </xf>
    <xf numFmtId="0" fontId="4" fillId="0" borderId="0" xfId="0" applyFont="1" applyAlignment="1">
      <alignment vertical="center"/>
    </xf>
    <xf numFmtId="0" fontId="37" fillId="0" borderId="0" xfId="0" applyFont="1" applyAlignment="1">
      <alignment vertical="center" wrapText="1"/>
    </xf>
    <xf numFmtId="0" fontId="14" fillId="0" borderId="0" xfId="0" applyFont="1" applyAlignment="1">
      <alignment vertical="center" wrapText="1"/>
    </xf>
    <xf numFmtId="0" fontId="13" fillId="0" borderId="0" xfId="0" applyFont="1" applyAlignment="1">
      <alignment horizontal="center" vertical="center"/>
    </xf>
    <xf numFmtId="165" fontId="21" fillId="0" borderId="23" xfId="0" applyNumberFormat="1" applyFont="1" applyBorder="1" applyAlignment="1">
      <alignment horizontal="center" vertical="center"/>
    </xf>
    <xf numFmtId="0" fontId="21" fillId="0" borderId="25" xfId="0" applyFont="1" applyBorder="1" applyAlignment="1">
      <alignment horizontal="center" vertical="center"/>
    </xf>
    <xf numFmtId="165" fontId="21" fillId="0" borderId="25" xfId="0" applyNumberFormat="1" applyFont="1" applyBorder="1" applyAlignment="1">
      <alignment horizontal="center" vertical="center" wrapText="1"/>
    </xf>
    <xf numFmtId="0" fontId="21" fillId="0" borderId="65" xfId="0" applyFont="1" applyBorder="1" applyAlignment="1">
      <alignment horizontal="center" vertical="center"/>
    </xf>
    <xf numFmtId="0" fontId="1" fillId="13" borderId="3" xfId="0" applyFont="1" applyFill="1" applyBorder="1" applyAlignment="1">
      <alignment vertical="center" wrapText="1"/>
    </xf>
    <xf numFmtId="0" fontId="1" fillId="0" borderId="20" xfId="0" applyFont="1" applyBorder="1" applyAlignment="1">
      <alignment horizontal="left" vertical="center" wrapText="1"/>
    </xf>
    <xf numFmtId="0" fontId="35" fillId="0" borderId="0" xfId="0" applyFont="1"/>
    <xf numFmtId="0" fontId="2" fillId="7" borderId="44"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48" xfId="0" applyFont="1" applyFill="1" applyBorder="1" applyAlignment="1">
      <alignment vertical="center" wrapText="1"/>
    </xf>
    <xf numFmtId="0" fontId="21" fillId="7" borderId="50" xfId="0" applyFont="1" applyFill="1" applyBorder="1" applyAlignment="1">
      <alignment horizontal="center" vertical="center"/>
    </xf>
    <xf numFmtId="0" fontId="21" fillId="6" borderId="38" xfId="0" applyFont="1" applyFill="1" applyBorder="1" applyAlignment="1">
      <alignment horizontal="center" vertical="center"/>
    </xf>
    <xf numFmtId="0" fontId="21" fillId="5" borderId="16" xfId="0" applyFont="1" applyFill="1" applyBorder="1" applyAlignment="1">
      <alignment vertical="center"/>
    </xf>
    <xf numFmtId="0" fontId="21" fillId="6" borderId="4" xfId="0" applyFont="1" applyFill="1" applyBorder="1" applyAlignment="1">
      <alignment horizontal="center" vertical="center"/>
    </xf>
    <xf numFmtId="0" fontId="1" fillId="5" borderId="47" xfId="0" applyFont="1" applyFill="1" applyBorder="1" applyAlignment="1">
      <alignment horizontal="center" vertical="center" wrapText="1"/>
    </xf>
    <xf numFmtId="0" fontId="21" fillId="7" borderId="44" xfId="0" applyFont="1" applyFill="1" applyBorder="1" applyAlignment="1">
      <alignment horizontal="center" vertical="center"/>
    </xf>
    <xf numFmtId="0" fontId="21" fillId="5" borderId="27" xfId="0" applyFont="1" applyFill="1" applyBorder="1" applyAlignment="1">
      <alignment horizontal="center" vertical="center"/>
    </xf>
    <xf numFmtId="0" fontId="21" fillId="5" borderId="48" xfId="0" applyFont="1" applyFill="1" applyBorder="1" applyAlignment="1">
      <alignment vertical="center"/>
    </xf>
    <xf numFmtId="0" fontId="21" fillId="7" borderId="49" xfId="0" applyFont="1" applyFill="1" applyBorder="1" applyAlignment="1">
      <alignment horizontal="center" vertical="center"/>
    </xf>
    <xf numFmtId="0" fontId="21" fillId="5" borderId="24" xfId="0" applyFont="1" applyFill="1" applyBorder="1" applyAlignment="1">
      <alignment horizontal="center" vertical="center"/>
    </xf>
    <xf numFmtId="0" fontId="1" fillId="5" borderId="47" xfId="0" applyFont="1" applyFill="1" applyBorder="1" applyAlignment="1">
      <alignment horizontal="center" vertical="center"/>
    </xf>
    <xf numFmtId="0" fontId="1" fillId="5" borderId="27" xfId="0" applyFont="1" applyFill="1" applyBorder="1" applyAlignment="1">
      <alignment vertical="center" wrapText="1"/>
    </xf>
    <xf numFmtId="0" fontId="21" fillId="6" borderId="50" xfId="0" applyFont="1" applyFill="1" applyBorder="1" applyAlignment="1">
      <alignment horizontal="center" vertical="center"/>
    </xf>
    <xf numFmtId="0" fontId="1" fillId="0" borderId="63" xfId="0" applyFont="1" applyBorder="1" applyAlignment="1">
      <alignment horizontal="center" vertical="center" wrapText="1"/>
    </xf>
    <xf numFmtId="0" fontId="21" fillId="6" borderId="44" xfId="0" applyFont="1" applyFill="1" applyBorder="1" applyAlignment="1">
      <alignment horizontal="center" vertical="center"/>
    </xf>
    <xf numFmtId="0" fontId="28" fillId="7" borderId="38" xfId="0" applyFont="1" applyFill="1" applyBorder="1" applyAlignment="1">
      <alignment horizontal="center" vertical="center"/>
    </xf>
    <xf numFmtId="0" fontId="28" fillId="5" borderId="16" xfId="0" applyFont="1" applyFill="1" applyBorder="1" applyAlignment="1">
      <alignment horizontal="center" vertical="center"/>
    </xf>
    <xf numFmtId="0" fontId="24" fillId="0" borderId="0" xfId="0" applyFont="1" applyAlignment="1">
      <alignment vertical="center" wrapText="1"/>
    </xf>
    <xf numFmtId="0" fontId="11" fillId="0" borderId="0" xfId="0" applyFont="1" applyAlignment="1">
      <alignment vertical="center"/>
    </xf>
    <xf numFmtId="0" fontId="5" fillId="0" borderId="0" xfId="0" applyFont="1" applyAlignment="1">
      <alignment horizontal="center" vertical="center" wrapText="1"/>
    </xf>
    <xf numFmtId="0" fontId="21" fillId="6" borderId="14" xfId="0" applyFont="1" applyFill="1" applyBorder="1" applyAlignment="1">
      <alignment horizontal="center" vertical="center"/>
    </xf>
    <xf numFmtId="0" fontId="16" fillId="0" borderId="0" xfId="0" applyFont="1" applyAlignment="1">
      <alignment horizontal="center" vertical="center" wrapText="1"/>
    </xf>
    <xf numFmtId="0" fontId="21" fillId="6" borderId="17" xfId="0" applyFont="1" applyFill="1" applyBorder="1" applyAlignment="1">
      <alignment horizontal="center" vertical="center"/>
    </xf>
    <xf numFmtId="0" fontId="21" fillId="6" borderId="28" xfId="0" applyFont="1" applyFill="1" applyBorder="1" applyAlignment="1">
      <alignment horizontal="center" vertical="center"/>
    </xf>
    <xf numFmtId="0" fontId="21" fillId="13" borderId="16" xfId="0" applyFont="1" applyFill="1" applyBorder="1" applyAlignment="1">
      <alignment horizontal="center" vertical="center" wrapText="1"/>
    </xf>
    <xf numFmtId="0" fontId="21" fillId="6" borderId="72" xfId="0" applyFont="1" applyFill="1" applyBorder="1" applyAlignment="1">
      <alignment horizontal="center" vertical="center"/>
    </xf>
    <xf numFmtId="0" fontId="26" fillId="0" borderId="0" xfId="0" applyFont="1" applyAlignment="1">
      <alignment vertical="center"/>
    </xf>
    <xf numFmtId="0" fontId="21" fillId="13" borderId="25" xfId="0" applyFont="1" applyFill="1" applyBorder="1" applyAlignment="1">
      <alignment horizontal="center" vertical="center" wrapText="1"/>
    </xf>
    <xf numFmtId="0" fontId="21" fillId="6" borderId="78" xfId="0" applyFont="1" applyFill="1" applyBorder="1" applyAlignment="1">
      <alignment horizontal="center" vertical="center"/>
    </xf>
    <xf numFmtId="165" fontId="21" fillId="0" borderId="26" xfId="0" applyNumberFormat="1" applyFont="1" applyBorder="1" applyAlignment="1">
      <alignment horizontal="center" vertical="center" wrapText="1"/>
    </xf>
    <xf numFmtId="0" fontId="21" fillId="6" borderId="79" xfId="0" applyFont="1" applyFill="1" applyBorder="1" applyAlignment="1">
      <alignment horizontal="center" vertical="center"/>
    </xf>
    <xf numFmtId="0" fontId="21" fillId="5" borderId="49" xfId="0" applyFont="1" applyFill="1" applyBorder="1" applyAlignment="1">
      <alignment horizontal="center" vertical="center"/>
    </xf>
    <xf numFmtId="0" fontId="21" fillId="7" borderId="38" xfId="0" applyFont="1" applyFill="1" applyBorder="1" applyAlignment="1">
      <alignment horizontal="center" vertical="center"/>
    </xf>
    <xf numFmtId="0" fontId="21" fillId="5" borderId="15" xfId="0" applyFont="1" applyFill="1" applyBorder="1" applyAlignment="1">
      <alignment vertical="center"/>
    </xf>
    <xf numFmtId="0" fontId="21" fillId="7" borderId="8" xfId="0" applyFont="1" applyFill="1" applyBorder="1" applyAlignment="1">
      <alignment horizontal="center" vertical="center"/>
    </xf>
    <xf numFmtId="0" fontId="21" fillId="5" borderId="1" xfId="0" applyFont="1" applyFill="1" applyBorder="1" applyAlignment="1">
      <alignment vertical="center"/>
    </xf>
    <xf numFmtId="0" fontId="21" fillId="7" borderId="39" xfId="0" applyFont="1" applyFill="1" applyBorder="1" applyAlignment="1">
      <alignment horizontal="center" vertical="center"/>
    </xf>
    <xf numFmtId="0" fontId="21" fillId="5" borderId="20" xfId="0" applyFont="1" applyFill="1" applyBorder="1" applyAlignment="1">
      <alignment vertical="center"/>
    </xf>
    <xf numFmtId="0" fontId="1" fillId="0" borderId="0" xfId="0" applyFont="1" applyAlignment="1">
      <alignment horizontal="right" vertical="center" wrapText="1"/>
    </xf>
    <xf numFmtId="165" fontId="21" fillId="0" borderId="0" xfId="0" applyNumberFormat="1" applyFont="1" applyAlignment="1">
      <alignment horizontal="center" vertical="center"/>
    </xf>
    <xf numFmtId="0" fontId="1" fillId="0" borderId="1" xfId="0" applyFont="1" applyBorder="1" applyAlignment="1">
      <alignment horizontal="right" vertical="center" wrapText="1"/>
    </xf>
    <xf numFmtId="0" fontId="1" fillId="13" borderId="20" xfId="0" applyFont="1" applyFill="1" applyBorder="1" applyAlignment="1">
      <alignment horizontal="right" vertical="center" wrapText="1"/>
    </xf>
    <xf numFmtId="165" fontId="21" fillId="13" borderId="26" xfId="0" applyNumberFormat="1" applyFont="1" applyFill="1" applyBorder="1" applyAlignment="1">
      <alignment horizontal="center" vertical="center"/>
    </xf>
    <xf numFmtId="0" fontId="21" fillId="6" borderId="13" xfId="0" applyFont="1" applyFill="1" applyBorder="1" applyAlignment="1">
      <alignment horizontal="center" vertical="center"/>
    </xf>
    <xf numFmtId="0" fontId="21" fillId="5" borderId="30" xfId="0" applyFont="1" applyFill="1" applyBorder="1" applyAlignment="1">
      <alignment vertical="center"/>
    </xf>
    <xf numFmtId="0" fontId="13" fillId="0" borderId="0" xfId="0" applyFont="1" applyAlignment="1">
      <alignment horizontal="center" vertical="center" wrapText="1"/>
    </xf>
    <xf numFmtId="0" fontId="13" fillId="13" borderId="0" xfId="0" applyFont="1" applyFill="1" applyAlignment="1">
      <alignment vertical="center"/>
    </xf>
    <xf numFmtId="0" fontId="21" fillId="0" borderId="0" xfId="0" applyFont="1" applyAlignment="1">
      <alignment horizontal="center" vertical="center" wrapText="1"/>
    </xf>
    <xf numFmtId="0" fontId="13" fillId="13" borderId="0" xfId="0" applyFont="1" applyFill="1" applyAlignment="1">
      <alignment vertical="center" wrapText="1"/>
    </xf>
    <xf numFmtId="0" fontId="2" fillId="0" borderId="43" xfId="0" applyFont="1" applyBorder="1" applyAlignment="1">
      <alignment vertical="center" wrapText="1"/>
    </xf>
    <xf numFmtId="0" fontId="2" fillId="0" borderId="40" xfId="0" applyFont="1" applyBorder="1" applyAlignment="1">
      <alignment vertical="center" wrapText="1"/>
    </xf>
    <xf numFmtId="2" fontId="21" fillId="0" borderId="25" xfId="0" applyNumberFormat="1" applyFont="1" applyBorder="1" applyAlignment="1">
      <alignment horizontal="center" vertical="center"/>
    </xf>
    <xf numFmtId="0" fontId="27" fillId="0" borderId="0" xfId="0" applyFont="1" applyAlignment="1">
      <alignment vertical="center"/>
    </xf>
    <xf numFmtId="0" fontId="13" fillId="13" borderId="0" xfId="0" applyFont="1" applyFill="1" applyAlignment="1">
      <alignment horizontal="center" vertical="center"/>
    </xf>
    <xf numFmtId="0" fontId="1" fillId="0" borderId="20" xfId="0" applyFont="1" applyBorder="1" applyAlignment="1">
      <alignment horizontal="right" vertical="center" wrapText="1"/>
    </xf>
    <xf numFmtId="2" fontId="21" fillId="5" borderId="26" xfId="0" applyNumberFormat="1" applyFont="1" applyFill="1" applyBorder="1" applyAlignment="1">
      <alignment horizontal="left" vertical="center"/>
    </xf>
    <xf numFmtId="0" fontId="27" fillId="0" borderId="0" xfId="0" applyFont="1" applyAlignment="1">
      <alignment vertical="center" wrapText="1"/>
    </xf>
    <xf numFmtId="1" fontId="21" fillId="0" borderId="25" xfId="0" applyNumberFormat="1" applyFont="1" applyBorder="1" applyAlignment="1">
      <alignment horizontal="center" vertical="center"/>
    </xf>
    <xf numFmtId="2" fontId="21" fillId="5" borderId="26" xfId="0" applyNumberFormat="1" applyFont="1" applyFill="1" applyBorder="1" applyAlignment="1">
      <alignment vertical="center"/>
    </xf>
    <xf numFmtId="0" fontId="28" fillId="7" borderId="44" xfId="0" applyFont="1" applyFill="1" applyBorder="1" applyAlignment="1">
      <alignment horizontal="center" vertical="center"/>
    </xf>
    <xf numFmtId="0" fontId="28" fillId="5" borderId="27" xfId="0" applyFont="1" applyFill="1" applyBorder="1" applyAlignment="1">
      <alignment vertical="center"/>
    </xf>
    <xf numFmtId="0" fontId="29" fillId="5" borderId="48" xfId="0" applyFont="1" applyFill="1" applyBorder="1" applyAlignment="1">
      <alignment vertical="center"/>
    </xf>
    <xf numFmtId="0" fontId="28" fillId="7" borderId="49" xfId="0" applyFont="1" applyFill="1" applyBorder="1" applyAlignment="1">
      <alignment horizontal="center" vertical="center"/>
    </xf>
    <xf numFmtId="0" fontId="28" fillId="5" borderId="24" xfId="0" applyFont="1" applyFill="1" applyBorder="1" applyAlignment="1">
      <alignment vertical="center"/>
    </xf>
    <xf numFmtId="0" fontId="30" fillId="0" borderId="5" xfId="6" applyFill="1" applyBorder="1" applyAlignment="1" applyProtection="1">
      <alignment vertical="center" wrapText="1"/>
    </xf>
    <xf numFmtId="0" fontId="1" fillId="0" borderId="0" xfId="0" applyFont="1" applyAlignment="1">
      <alignment wrapText="1"/>
    </xf>
    <xf numFmtId="0" fontId="31" fillId="0" borderId="0" xfId="6" applyFont="1" applyProtection="1"/>
    <xf numFmtId="0" fontId="40" fillId="0" borderId="0" xfId="0" applyFont="1" applyAlignment="1">
      <alignment vertical="center"/>
    </xf>
    <xf numFmtId="0" fontId="1" fillId="5" borderId="15" xfId="0" applyFont="1" applyFill="1" applyBorder="1" applyAlignment="1">
      <alignment horizontal="left" vertical="top" wrapText="1"/>
    </xf>
    <xf numFmtId="0" fontId="1" fillId="14" borderId="26" xfId="0" applyFont="1" applyFill="1" applyBorder="1" applyAlignment="1" applyProtection="1">
      <alignment horizontal="center" vertical="center"/>
      <protection locked="0"/>
    </xf>
    <xf numFmtId="0" fontId="1" fillId="13" borderId="3" xfId="0" applyFont="1" applyFill="1" applyBorder="1" applyAlignment="1">
      <alignment horizontal="left" vertical="center" wrapText="1"/>
    </xf>
    <xf numFmtId="0" fontId="1" fillId="14" borderId="30" xfId="0" applyFont="1" applyFill="1" applyBorder="1" applyAlignment="1" applyProtection="1">
      <alignment horizontal="center" vertical="center" wrapText="1"/>
      <protection locked="0"/>
    </xf>
    <xf numFmtId="0" fontId="1" fillId="13" borderId="1" xfId="0" applyFont="1" applyFill="1" applyBorder="1" applyAlignment="1">
      <alignment horizontal="left" vertical="center" wrapText="1"/>
    </xf>
    <xf numFmtId="0" fontId="1" fillId="14" borderId="25" xfId="0" applyFont="1" applyFill="1" applyBorder="1" applyAlignment="1" applyProtection="1">
      <alignment horizontal="center" vertical="center" wrapText="1"/>
      <protection locked="0"/>
    </xf>
    <xf numFmtId="0" fontId="1" fillId="0" borderId="45" xfId="0" applyFont="1" applyBorder="1" applyAlignment="1">
      <alignment horizontal="center" vertical="center" wrapText="1"/>
    </xf>
    <xf numFmtId="0" fontId="1" fillId="17" borderId="15" xfId="0" applyFont="1" applyFill="1" applyBorder="1" applyAlignment="1" applyProtection="1">
      <alignment horizontal="center" vertical="center"/>
      <protection locked="0"/>
    </xf>
    <xf numFmtId="0" fontId="1" fillId="17" borderId="1" xfId="0" applyFont="1" applyFill="1" applyBorder="1" applyAlignment="1" applyProtection="1">
      <alignment horizontal="center" vertical="center"/>
      <protection locked="0"/>
    </xf>
    <xf numFmtId="2" fontId="21" fillId="0" borderId="20" xfId="0" applyNumberFormat="1" applyFont="1" applyBorder="1" applyAlignment="1">
      <alignment horizontal="center" vertical="center" wrapText="1"/>
    </xf>
    <xf numFmtId="0" fontId="1" fillId="14" borderId="26" xfId="0" applyFont="1" applyFill="1" applyBorder="1" applyAlignment="1" applyProtection="1">
      <alignment vertical="center" wrapText="1"/>
      <protection locked="0"/>
    </xf>
    <xf numFmtId="0" fontId="2" fillId="0" borderId="41" xfId="0" applyFont="1" applyBorder="1" applyAlignment="1">
      <alignment horizontal="center" vertical="center" wrapText="1"/>
    </xf>
    <xf numFmtId="0" fontId="2" fillId="0" borderId="3" xfId="0" applyFont="1" applyBorder="1" applyAlignment="1">
      <alignment horizontal="center" vertical="center" wrapText="1"/>
    </xf>
    <xf numFmtId="2" fontId="1" fillId="17" borderId="1" xfId="0" applyNumberFormat="1" applyFont="1" applyFill="1" applyBorder="1" applyAlignment="1" applyProtection="1">
      <alignment horizontal="right" vertical="center" wrapText="1"/>
      <protection locked="0"/>
    </xf>
    <xf numFmtId="0" fontId="1" fillId="17" borderId="1" xfId="0" applyFont="1" applyFill="1" applyBorder="1" applyAlignment="1" applyProtection="1">
      <alignment horizontal="right" vertical="center" wrapText="1"/>
      <protection locked="0"/>
    </xf>
    <xf numFmtId="2" fontId="1" fillId="17" borderId="20" xfId="0" applyNumberFormat="1" applyFont="1" applyFill="1" applyBorder="1" applyAlignment="1" applyProtection="1">
      <alignment horizontal="right" vertical="center" wrapText="1"/>
      <protection locked="0"/>
    </xf>
    <xf numFmtId="0" fontId="1" fillId="17" borderId="20" xfId="0" applyFont="1" applyFill="1" applyBorder="1" applyAlignment="1" applyProtection="1">
      <alignment horizontal="right" vertical="center" wrapText="1"/>
      <protection locked="0"/>
    </xf>
    <xf numFmtId="0" fontId="21" fillId="17" borderId="16" xfId="0" applyFont="1" applyFill="1" applyBorder="1" applyAlignment="1" applyProtection="1">
      <alignment horizontal="center" vertical="center"/>
      <protection locked="0"/>
    </xf>
    <xf numFmtId="0" fontId="21" fillId="17" borderId="25" xfId="0" applyFont="1" applyFill="1" applyBorder="1" applyAlignment="1" applyProtection="1">
      <alignment horizontal="center" vertical="center"/>
      <protection locked="0"/>
    </xf>
    <xf numFmtId="0" fontId="1" fillId="0" borderId="41" xfId="0" applyFont="1" applyBorder="1" applyAlignment="1">
      <alignment horizontal="center" vertical="center" wrapText="1"/>
    </xf>
    <xf numFmtId="0" fontId="1" fillId="0" borderId="0" xfId="0" applyFont="1" applyAlignment="1">
      <alignment horizontal="left" vertical="center" wrapText="1"/>
    </xf>
    <xf numFmtId="0" fontId="1" fillId="16" borderId="16" xfId="0" applyFont="1" applyFill="1" applyBorder="1" applyAlignment="1" applyProtection="1">
      <alignment horizontal="center" vertical="center" wrapText="1"/>
      <protection locked="0"/>
    </xf>
    <xf numFmtId="0" fontId="1" fillId="16" borderId="25" xfId="0" applyFont="1" applyFill="1" applyBorder="1" applyAlignment="1" applyProtection="1">
      <alignment horizontal="center" vertical="center" wrapText="1"/>
      <protection locked="0"/>
    </xf>
    <xf numFmtId="0" fontId="1" fillId="16" borderId="66" xfId="0" applyFont="1" applyFill="1" applyBorder="1" applyAlignment="1">
      <alignment horizontal="left" vertical="center"/>
    </xf>
    <xf numFmtId="0" fontId="1" fillId="16" borderId="77" xfId="0" applyFont="1" applyFill="1" applyBorder="1" applyAlignment="1">
      <alignment horizontal="left" vertical="center"/>
    </xf>
    <xf numFmtId="0" fontId="24" fillId="0" borderId="0" xfId="0" applyFont="1"/>
    <xf numFmtId="0" fontId="2" fillId="0" borderId="0" xfId="0" applyFont="1" applyAlignment="1">
      <alignment vertical="center" textRotation="90" wrapText="1"/>
    </xf>
    <xf numFmtId="0" fontId="1" fillId="0" borderId="0" xfId="0" applyFont="1" applyAlignment="1">
      <alignment horizontal="left" vertical="center" indent="5"/>
    </xf>
    <xf numFmtId="0" fontId="1" fillId="0" borderId="0" xfId="0" applyFont="1" applyAlignment="1">
      <alignment horizontal="center"/>
    </xf>
    <xf numFmtId="0" fontId="2" fillId="0" borderId="14" xfId="0" applyFont="1" applyBorder="1" applyAlignment="1">
      <alignment vertical="center"/>
    </xf>
    <xf numFmtId="0" fontId="2" fillId="0" borderId="60" xfId="0" applyFont="1" applyBorder="1" applyAlignment="1">
      <alignment vertical="center"/>
    </xf>
    <xf numFmtId="0" fontId="1" fillId="0" borderId="68" xfId="0" applyFont="1" applyBorder="1" applyAlignment="1">
      <alignment horizontal="left" vertical="center" indent="5"/>
    </xf>
    <xf numFmtId="0" fontId="1" fillId="0" borderId="9" xfId="0" applyFont="1" applyBorder="1" applyAlignment="1">
      <alignment horizontal="left" vertical="center" indent="5"/>
    </xf>
    <xf numFmtId="2" fontId="28" fillId="0" borderId="9" xfId="5" applyNumberFormat="1" applyFont="1" applyBorder="1" applyAlignment="1" applyProtection="1">
      <alignment horizontal="left"/>
    </xf>
    <xf numFmtId="1" fontId="1" fillId="0" borderId="1" xfId="0" applyNumberFormat="1" applyFont="1" applyBorder="1"/>
    <xf numFmtId="165" fontId="1" fillId="0" borderId="25" xfId="0" applyNumberFormat="1" applyFont="1" applyBorder="1"/>
    <xf numFmtId="2" fontId="1" fillId="0" borderId="1" xfId="0" applyNumberFormat="1" applyFont="1" applyBorder="1"/>
    <xf numFmtId="2" fontId="23" fillId="18" borderId="20" xfId="5" applyNumberFormat="1" applyFont="1" applyFill="1" applyBorder="1" applyAlignment="1" applyProtection="1">
      <alignment vertical="center"/>
    </xf>
    <xf numFmtId="9" fontId="23" fillId="18" borderId="26" xfId="5" applyFont="1" applyFill="1" applyBorder="1" applyAlignment="1" applyProtection="1">
      <alignment vertical="center"/>
    </xf>
    <xf numFmtId="2" fontId="21" fillId="13" borderId="26" xfId="0" applyNumberFormat="1" applyFont="1" applyFill="1" applyBorder="1" applyAlignment="1">
      <alignment horizontal="center" vertical="center" wrapText="1"/>
    </xf>
    <xf numFmtId="2" fontId="17" fillId="0" borderId="0" xfId="0" applyNumberFormat="1" applyFont="1" applyAlignment="1">
      <alignment horizontal="center" vertical="center" wrapText="1"/>
    </xf>
    <xf numFmtId="0" fontId="1" fillId="14" borderId="18" xfId="0" applyFont="1" applyFill="1" applyBorder="1" applyAlignment="1" applyProtection="1">
      <alignment horizontal="center" vertical="center"/>
      <protection locked="0"/>
    </xf>
    <xf numFmtId="2" fontId="28" fillId="0" borderId="68" xfId="0" applyNumberFormat="1" applyFont="1" applyBorder="1" applyAlignment="1">
      <alignment horizontal="right"/>
    </xf>
    <xf numFmtId="165" fontId="1" fillId="0" borderId="0" xfId="0" applyNumberFormat="1" applyFont="1"/>
    <xf numFmtId="49" fontId="1" fillId="0" borderId="0" xfId="0" applyNumberFormat="1" applyFont="1"/>
    <xf numFmtId="0" fontId="1" fillId="0" borderId="41" xfId="0" applyFont="1" applyBorder="1"/>
    <xf numFmtId="166" fontId="28" fillId="0" borderId="0" xfId="0" applyNumberFormat="1" applyFont="1" applyAlignment="1">
      <alignment horizontal="right"/>
    </xf>
    <xf numFmtId="2" fontId="28" fillId="0" borderId="0" xfId="0" applyNumberFormat="1" applyFont="1" applyAlignment="1">
      <alignment horizontal="right"/>
    </xf>
    <xf numFmtId="1" fontId="28" fillId="0" borderId="0" xfId="0" applyNumberFormat="1" applyFont="1" applyAlignment="1">
      <alignment horizontal="left"/>
    </xf>
    <xf numFmtId="1" fontId="1" fillId="0" borderId="37" xfId="0" applyNumberFormat="1" applyFont="1" applyBorder="1"/>
    <xf numFmtId="9" fontId="1" fillId="0" borderId="0" xfId="0" applyNumberFormat="1" applyFont="1"/>
    <xf numFmtId="0" fontId="7" fillId="0" borderId="41" xfId="0" applyFont="1" applyBorder="1"/>
    <xf numFmtId="0" fontId="2" fillId="0" borderId="0" xfId="0" applyFont="1" applyAlignment="1">
      <alignment horizontal="center"/>
    </xf>
    <xf numFmtId="0" fontId="2" fillId="0" borderId="0" xfId="0" applyFont="1" applyAlignment="1">
      <alignment horizontal="center" wrapText="1"/>
    </xf>
    <xf numFmtId="0" fontId="2" fillId="0" borderId="37" xfId="0" applyFont="1" applyBorder="1" applyAlignment="1">
      <alignment horizontal="center"/>
    </xf>
    <xf numFmtId="0" fontId="1" fillId="0" borderId="1" xfId="0" applyFont="1" applyBorder="1"/>
    <xf numFmtId="1" fontId="1" fillId="0" borderId="25" xfId="5" applyNumberFormat="1" applyFont="1" applyBorder="1" applyAlignment="1" applyProtection="1">
      <alignment horizontal="right"/>
    </xf>
    <xf numFmtId="1" fontId="1" fillId="0" borderId="0" xfId="0" applyNumberFormat="1" applyFont="1"/>
    <xf numFmtId="0" fontId="23" fillId="18" borderId="20" xfId="0" applyFont="1" applyFill="1" applyBorder="1" applyAlignment="1">
      <alignment vertical="center"/>
    </xf>
    <xf numFmtId="2" fontId="23" fillId="18" borderId="26" xfId="5" applyNumberFormat="1" applyFont="1" applyFill="1" applyBorder="1" applyAlignment="1" applyProtection="1">
      <alignment horizontal="right" vertical="center"/>
    </xf>
    <xf numFmtId="0" fontId="6" fillId="0" borderId="70" xfId="0" applyFont="1" applyBorder="1"/>
    <xf numFmtId="0" fontId="2" fillId="0" borderId="24" xfId="0" applyFont="1" applyBorder="1" applyAlignment="1">
      <alignment horizontal="center" vertical="center" wrapText="1"/>
    </xf>
    <xf numFmtId="0" fontId="2" fillId="15" borderId="24" xfId="0" applyFont="1" applyFill="1" applyBorder="1" applyAlignment="1">
      <alignment horizontal="center" vertical="center" wrapText="1"/>
    </xf>
    <xf numFmtId="0" fontId="2" fillId="15" borderId="21" xfId="0" applyFont="1" applyFill="1" applyBorder="1" applyAlignment="1">
      <alignment horizontal="center" vertical="center" wrapText="1"/>
    </xf>
    <xf numFmtId="0" fontId="7" fillId="13" borderId="21" xfId="0" applyFont="1" applyFill="1" applyBorder="1" applyAlignment="1">
      <alignment horizontal="center" vertical="center" wrapText="1"/>
    </xf>
    <xf numFmtId="0" fontId="6" fillId="0" borderId="0" xfId="0" applyFont="1" applyAlignment="1">
      <alignment wrapText="1"/>
    </xf>
    <xf numFmtId="0" fontId="1" fillId="9" borderId="50" xfId="0" applyFont="1" applyFill="1" applyBorder="1" applyAlignment="1">
      <alignment horizontal="left" vertical="top" wrapText="1"/>
    </xf>
    <xf numFmtId="0" fontId="1" fillId="16" borderId="22" xfId="0" applyFont="1" applyFill="1" applyBorder="1" applyAlignment="1">
      <alignment horizontal="center" vertical="center" wrapText="1"/>
    </xf>
    <xf numFmtId="0" fontId="1" fillId="9" borderId="22" xfId="0" applyFont="1" applyFill="1" applyBorder="1" applyAlignment="1">
      <alignment horizontal="center" vertical="center" wrapText="1"/>
    </xf>
    <xf numFmtId="9" fontId="1" fillId="9" borderId="22" xfId="5" applyFont="1" applyFill="1" applyBorder="1" applyAlignment="1" applyProtection="1">
      <alignment horizontal="center" vertical="center" wrapText="1"/>
    </xf>
    <xf numFmtId="0" fontId="1" fillId="9" borderId="22" xfId="0" applyFont="1" applyFill="1" applyBorder="1" applyAlignment="1">
      <alignment vertical="top" wrapText="1"/>
    </xf>
    <xf numFmtId="0" fontId="22" fillId="9" borderId="23" xfId="0" applyFont="1" applyFill="1" applyBorder="1" applyAlignment="1">
      <alignment horizontal="center" vertical="top" wrapText="1"/>
    </xf>
    <xf numFmtId="0" fontId="1" fillId="9" borderId="44" xfId="0" applyFont="1" applyFill="1" applyBorder="1" applyAlignment="1">
      <alignment horizontal="left" vertical="top" wrapText="1"/>
    </xf>
    <xf numFmtId="0" fontId="1" fillId="16" borderId="27" xfId="0" applyFont="1" applyFill="1" applyBorder="1" applyAlignment="1">
      <alignment horizontal="center" vertical="center" wrapText="1"/>
    </xf>
    <xf numFmtId="0" fontId="1" fillId="9" borderId="27" xfId="0" applyFont="1" applyFill="1" applyBorder="1" applyAlignment="1">
      <alignment horizontal="center" vertical="center" wrapText="1"/>
    </xf>
    <xf numFmtId="9" fontId="1" fillId="9" borderId="27" xfId="5" applyFont="1" applyFill="1" applyBorder="1" applyAlignment="1" applyProtection="1">
      <alignment horizontal="center" vertical="center" wrapText="1"/>
    </xf>
    <xf numFmtId="0" fontId="1" fillId="9" borderId="27" xfId="0" applyFont="1" applyFill="1" applyBorder="1" applyAlignment="1">
      <alignment vertical="top" wrapText="1"/>
    </xf>
    <xf numFmtId="0" fontId="22" fillId="9" borderId="48" xfId="0" applyFont="1" applyFill="1" applyBorder="1" applyAlignment="1">
      <alignment horizontal="center" vertical="top" wrapText="1"/>
    </xf>
    <xf numFmtId="0" fontId="1" fillId="9" borderId="5" xfId="0" applyFont="1" applyFill="1" applyBorder="1" applyAlignment="1">
      <alignment horizontal="left" vertical="top" wrapText="1"/>
    </xf>
    <xf numFmtId="0" fontId="1" fillId="16" borderId="6" xfId="0" applyFont="1" applyFill="1" applyBorder="1" applyAlignment="1">
      <alignment horizontal="center" vertical="center" wrapText="1"/>
    </xf>
    <xf numFmtId="0" fontId="1" fillId="9" borderId="6" xfId="0" applyFont="1" applyFill="1" applyBorder="1" applyAlignment="1">
      <alignment horizontal="center" vertical="center" wrapText="1"/>
    </xf>
    <xf numFmtId="9" fontId="1" fillId="9" borderId="6" xfId="5" applyFont="1" applyFill="1" applyBorder="1" applyAlignment="1" applyProtection="1">
      <alignment horizontal="center" vertical="center" wrapText="1"/>
    </xf>
    <xf numFmtId="0" fontId="1" fillId="9" borderId="6" xfId="0" applyFont="1" applyFill="1" applyBorder="1" applyAlignment="1">
      <alignment vertical="top" wrapText="1"/>
    </xf>
    <xf numFmtId="0" fontId="22" fillId="9" borderId="56" xfId="0" applyFont="1" applyFill="1" applyBorder="1" applyAlignment="1">
      <alignment horizontal="center" vertical="top" wrapText="1"/>
    </xf>
    <xf numFmtId="0" fontId="13" fillId="0" borderId="0" xfId="0" applyFont="1" applyAlignment="1">
      <alignment wrapText="1"/>
    </xf>
    <xf numFmtId="0" fontId="1" fillId="9" borderId="15" xfId="0" applyFont="1" applyFill="1" applyBorder="1" applyAlignment="1">
      <alignment vertical="center" wrapText="1"/>
    </xf>
    <xf numFmtId="0" fontId="1" fillId="9" borderId="1" xfId="0" applyFont="1" applyFill="1" applyBorder="1" applyAlignment="1">
      <alignment vertical="center" wrapText="1"/>
    </xf>
    <xf numFmtId="0" fontId="1" fillId="9" borderId="0" xfId="0" applyFont="1" applyFill="1" applyAlignment="1">
      <alignment vertical="center" wrapText="1"/>
    </xf>
    <xf numFmtId="165" fontId="13" fillId="0" borderId="0" xfId="0" applyNumberFormat="1" applyFont="1" applyAlignment="1">
      <alignment vertical="center" wrapText="1"/>
    </xf>
    <xf numFmtId="165" fontId="13" fillId="0" borderId="0" xfId="0" applyNumberFormat="1" applyFont="1" applyAlignment="1">
      <alignment vertical="top" wrapText="1"/>
    </xf>
    <xf numFmtId="0" fontId="1" fillId="9" borderId="1"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2" xfId="0" applyFont="1" applyFill="1" applyBorder="1" applyAlignment="1">
      <alignment horizontal="left" vertical="center" wrapText="1"/>
    </xf>
    <xf numFmtId="0" fontId="1" fillId="9" borderId="20" xfId="0" applyFont="1" applyFill="1" applyBorder="1" applyAlignment="1">
      <alignment horizontal="left" vertical="center" wrapText="1"/>
    </xf>
    <xf numFmtId="0" fontId="1" fillId="5" borderId="3" xfId="0" applyFont="1" applyFill="1" applyBorder="1" applyAlignment="1">
      <alignment vertical="top" wrapText="1"/>
    </xf>
    <xf numFmtId="0" fontId="7" fillId="5" borderId="72" xfId="0" applyFont="1" applyFill="1" applyBorder="1" applyAlignment="1">
      <alignment horizontal="center" vertical="center" wrapText="1"/>
    </xf>
    <xf numFmtId="0" fontId="1" fillId="5" borderId="1" xfId="0" applyFont="1" applyFill="1" applyBorder="1" applyAlignment="1">
      <alignment vertical="top" wrapText="1"/>
    </xf>
    <xf numFmtId="0" fontId="1" fillId="5" borderId="3" xfId="0" applyFont="1" applyFill="1" applyBorder="1" applyAlignment="1">
      <alignment horizontal="left" vertical="top" wrapText="1"/>
    </xf>
    <xf numFmtId="0" fontId="1" fillId="5" borderId="24" xfId="0" applyFont="1" applyFill="1" applyBorder="1" applyAlignment="1">
      <alignment horizontal="left" vertical="top" wrapText="1"/>
    </xf>
    <xf numFmtId="0" fontId="1" fillId="5" borderId="6" xfId="0" applyFont="1" applyFill="1" applyBorder="1" applyAlignment="1">
      <alignment horizontal="left" vertical="top" wrapText="1"/>
    </xf>
    <xf numFmtId="0" fontId="1" fillId="5" borderId="15" xfId="0" applyFont="1" applyFill="1" applyBorder="1" applyAlignment="1">
      <alignment vertical="top" wrapText="1"/>
    </xf>
    <xf numFmtId="0" fontId="1" fillId="5" borderId="47" xfId="0" applyFont="1" applyFill="1" applyBorder="1" applyAlignment="1">
      <alignment horizontal="left" vertical="center" wrapText="1"/>
    </xf>
    <xf numFmtId="0" fontId="1" fillId="5" borderId="27" xfId="0" applyFont="1" applyFill="1" applyBorder="1" applyAlignment="1">
      <alignment horizontal="center" vertical="center" wrapText="1"/>
    </xf>
    <xf numFmtId="0" fontId="1" fillId="5" borderId="27" xfId="0" applyFont="1" applyFill="1" applyBorder="1" applyAlignment="1">
      <alignment horizontal="left" vertical="center" wrapText="1"/>
    </xf>
    <xf numFmtId="0" fontId="22" fillId="5" borderId="48" xfId="0" applyFont="1" applyFill="1" applyBorder="1" applyAlignment="1">
      <alignment horizontal="center" vertical="center" wrapText="1"/>
    </xf>
    <xf numFmtId="0" fontId="1" fillId="5" borderId="2" xfId="0" applyFont="1" applyFill="1" applyBorder="1" applyAlignment="1">
      <alignment vertical="top" wrapText="1"/>
    </xf>
    <xf numFmtId="0" fontId="22" fillId="5" borderId="23" xfId="0" applyFont="1" applyFill="1" applyBorder="1" applyAlignment="1">
      <alignment horizontal="center" vertical="center" wrapText="1"/>
    </xf>
    <xf numFmtId="0" fontId="1" fillId="5" borderId="45" xfId="0" applyFont="1" applyFill="1" applyBorder="1" applyAlignment="1">
      <alignment vertical="center" wrapText="1"/>
    </xf>
    <xf numFmtId="0" fontId="1" fillId="5" borderId="44" xfId="0" applyFont="1" applyFill="1" applyBorder="1" applyAlignment="1">
      <alignment horizontal="center" vertical="center" wrapText="1"/>
    </xf>
    <xf numFmtId="9" fontId="1" fillId="5" borderId="44" xfId="0" applyNumberFormat="1" applyFont="1" applyFill="1" applyBorder="1" applyAlignment="1">
      <alignment horizontal="center" vertical="center" wrapText="1"/>
    </xf>
    <xf numFmtId="0" fontId="1" fillId="5" borderId="43" xfId="0" applyFont="1" applyFill="1" applyBorder="1" applyAlignment="1">
      <alignment vertical="center" wrapText="1"/>
    </xf>
    <xf numFmtId="0" fontId="22" fillId="5" borderId="56" xfId="0" applyFont="1" applyFill="1" applyBorder="1" applyAlignment="1">
      <alignment horizontal="center" vertical="center" wrapText="1"/>
    </xf>
    <xf numFmtId="0" fontId="7" fillId="4" borderId="72" xfId="0" applyFont="1" applyFill="1" applyBorder="1" applyAlignment="1">
      <alignment horizontal="center" vertical="center" wrapText="1"/>
    </xf>
    <xf numFmtId="0" fontId="1" fillId="4" borderId="15" xfId="0" applyFont="1" applyFill="1" applyBorder="1" applyAlignment="1">
      <alignment vertical="top" wrapText="1"/>
    </xf>
    <xf numFmtId="0" fontId="1" fillId="4" borderId="3" xfId="0" applyFont="1" applyFill="1" applyBorder="1" applyAlignment="1">
      <alignment vertical="top" wrapText="1"/>
    </xf>
    <xf numFmtId="0" fontId="1" fillId="4" borderId="17" xfId="0" applyFont="1" applyFill="1" applyBorder="1" applyAlignment="1">
      <alignment horizontal="left" vertical="center" wrapText="1"/>
    </xf>
    <xf numFmtId="165" fontId="1" fillId="4" borderId="7" xfId="0" quotePrefix="1" applyNumberFormat="1" applyFont="1" applyFill="1" applyBorder="1" applyAlignment="1">
      <alignment horizontal="center" vertical="center" wrapText="1"/>
    </xf>
    <xf numFmtId="0" fontId="1" fillId="4" borderId="62" xfId="0" quotePrefix="1" applyFont="1" applyFill="1" applyBorder="1" applyAlignment="1">
      <alignment vertical="center" wrapText="1"/>
    </xf>
    <xf numFmtId="0" fontId="1" fillId="4" borderId="8" xfId="0" quotePrefix="1" applyFont="1" applyFill="1" applyBorder="1" applyAlignment="1">
      <alignment vertical="center" wrapText="1"/>
    </xf>
    <xf numFmtId="0" fontId="22" fillId="4" borderId="56" xfId="0" applyFont="1" applyFill="1" applyBorder="1" applyAlignment="1">
      <alignment vertical="center" wrapText="1"/>
    </xf>
    <xf numFmtId="0" fontId="1" fillId="4" borderId="29" xfId="0" applyFont="1" applyFill="1" applyBorder="1" applyAlignment="1">
      <alignment horizontal="left" vertical="center" wrapText="1"/>
    </xf>
    <xf numFmtId="165" fontId="1" fillId="4" borderId="3" xfId="0" applyNumberFormat="1"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1" fillId="4" borderId="1" xfId="0" applyFont="1" applyFill="1" applyBorder="1" applyAlignment="1">
      <alignment vertical="top" wrapText="1"/>
    </xf>
    <xf numFmtId="2" fontId="1" fillId="4" borderId="3" xfId="0" applyNumberFormat="1" applyFont="1" applyFill="1" applyBorder="1" applyAlignment="1">
      <alignment horizontal="right" vertical="center" wrapText="1"/>
    </xf>
    <xf numFmtId="0" fontId="1" fillId="4" borderId="3" xfId="0" applyFont="1" applyFill="1" applyBorder="1" applyAlignment="1">
      <alignment horizontal="left" vertical="center" wrapText="1"/>
    </xf>
    <xf numFmtId="2" fontId="1" fillId="4" borderId="1" xfId="0" applyNumberFormat="1" applyFont="1" applyFill="1" applyBorder="1" applyAlignment="1">
      <alignment horizontal="right" vertical="center" wrapText="1"/>
    </xf>
    <xf numFmtId="0" fontId="1"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65" xfId="0" applyFont="1" applyFill="1" applyBorder="1" applyAlignment="1">
      <alignment horizontal="center" vertical="center" wrapText="1"/>
    </xf>
    <xf numFmtId="0" fontId="1" fillId="12" borderId="56" xfId="0" applyFont="1" applyFill="1" applyBorder="1" applyAlignment="1">
      <alignment horizontal="left" vertical="top" wrapText="1"/>
    </xf>
    <xf numFmtId="0" fontId="1" fillId="12" borderId="32" xfId="0" applyFont="1" applyFill="1" applyBorder="1" applyAlignment="1">
      <alignment horizontal="left" vertical="top" wrapText="1"/>
    </xf>
    <xf numFmtId="165" fontId="1" fillId="16" borderId="6" xfId="0" applyNumberFormat="1" applyFont="1" applyFill="1" applyBorder="1" applyAlignment="1">
      <alignment horizontal="center" vertical="center" wrapText="1"/>
    </xf>
    <xf numFmtId="0" fontId="1" fillId="12" borderId="6" xfId="0" applyFont="1" applyFill="1" applyBorder="1" applyAlignment="1">
      <alignment horizontal="right" vertical="center" wrapText="1"/>
    </xf>
    <xf numFmtId="1" fontId="1" fillId="9" borderId="6" xfId="0" applyNumberFormat="1" applyFont="1" applyFill="1" applyBorder="1" applyAlignment="1">
      <alignment horizontal="center" vertical="center" wrapText="1"/>
    </xf>
    <xf numFmtId="0" fontId="1" fillId="12" borderId="6" xfId="0" applyFont="1" applyFill="1" applyBorder="1" applyAlignment="1">
      <alignment vertical="top" wrapText="1"/>
    </xf>
    <xf numFmtId="0" fontId="1" fillId="12" borderId="22" xfId="0" applyFont="1" applyFill="1" applyBorder="1" applyAlignment="1">
      <alignment vertical="top" wrapText="1"/>
    </xf>
    <xf numFmtId="0" fontId="1" fillId="12" borderId="2" xfId="0" applyFont="1" applyFill="1" applyBorder="1" applyAlignment="1">
      <alignment vertical="top" wrapText="1"/>
    </xf>
    <xf numFmtId="0" fontId="1" fillId="12" borderId="1" xfId="0" applyFont="1" applyFill="1" applyBorder="1" applyAlignment="1">
      <alignment vertical="top" wrapText="1"/>
    </xf>
    <xf numFmtId="0" fontId="12" fillId="0" borderId="0" xfId="0" applyFont="1"/>
    <xf numFmtId="0" fontId="22" fillId="0" borderId="0" xfId="0" applyFont="1" applyAlignment="1">
      <alignment vertical="center" wrapText="1"/>
    </xf>
    <xf numFmtId="0" fontId="0" fillId="0" borderId="0" xfId="0" applyAlignment="1">
      <alignment horizontal="right" vertical="center" wrapText="1"/>
    </xf>
    <xf numFmtId="0" fontId="42" fillId="0" borderId="41" xfId="0" applyFont="1" applyBorder="1" applyAlignment="1">
      <alignment horizontal="center" vertical="center" wrapText="1"/>
    </xf>
    <xf numFmtId="0" fontId="42" fillId="0" borderId="0" xfId="0" applyFont="1" applyAlignment="1">
      <alignment horizontal="center" vertical="center" wrapText="1"/>
    </xf>
    <xf numFmtId="2" fontId="21" fillId="0" borderId="0" xfId="0" applyNumberFormat="1" applyFont="1" applyAlignment="1">
      <alignment vertical="center" wrapText="1"/>
    </xf>
    <xf numFmtId="0" fontId="1" fillId="0" borderId="80" xfId="0" applyFont="1" applyBorder="1" applyAlignment="1">
      <alignment horizontal="center" vertical="center" wrapText="1"/>
    </xf>
    <xf numFmtId="0" fontId="1" fillId="0" borderId="45" xfId="0" applyFont="1" applyBorder="1" applyAlignment="1">
      <alignment vertical="center" wrapText="1"/>
    </xf>
    <xf numFmtId="0" fontId="1" fillId="0" borderId="43" xfId="0" applyFont="1" applyBorder="1" applyAlignment="1">
      <alignment vertical="center" wrapText="1"/>
    </xf>
    <xf numFmtId="0" fontId="1" fillId="0" borderId="40" xfId="0" applyFont="1" applyBorder="1" applyAlignment="1">
      <alignment vertical="center" wrapText="1"/>
    </xf>
    <xf numFmtId="0" fontId="5" fillId="0" borderId="80" xfId="0" applyFont="1" applyBorder="1" applyAlignment="1">
      <alignment horizontal="center"/>
    </xf>
    <xf numFmtId="0" fontId="1" fillId="0" borderId="40" xfId="0" applyFont="1" applyBorder="1" applyAlignment="1">
      <alignment horizontal="center" vertical="center" wrapText="1"/>
    </xf>
    <xf numFmtId="0" fontId="1" fillId="0" borderId="43" xfId="0" applyFont="1" applyBorder="1" applyAlignment="1">
      <alignment horizontal="center" vertical="center" wrapText="1"/>
    </xf>
    <xf numFmtId="0" fontId="5" fillId="0" borderId="43" xfId="0" applyFont="1" applyBorder="1" applyAlignment="1">
      <alignment vertical="center" wrapText="1"/>
    </xf>
    <xf numFmtId="0" fontId="1" fillId="0" borderId="80" xfId="0" applyFont="1" applyBorder="1" applyAlignment="1">
      <alignment vertical="center" wrapText="1"/>
    </xf>
    <xf numFmtId="0" fontId="2" fillId="0" borderId="80" xfId="0" applyFont="1" applyBorder="1" applyAlignment="1">
      <alignment vertical="center" wrapText="1"/>
    </xf>
    <xf numFmtId="0" fontId="5" fillId="0" borderId="0" xfId="0" applyFont="1" applyAlignment="1">
      <alignment horizontal="center"/>
    </xf>
    <xf numFmtId="0" fontId="2" fillId="0" borderId="0" xfId="0" applyFont="1" applyAlignment="1">
      <alignment vertical="center" wrapText="1"/>
    </xf>
    <xf numFmtId="0" fontId="1" fillId="0" borderId="0" xfId="0" applyFont="1" applyAlignment="1">
      <alignment horizontal="right"/>
    </xf>
    <xf numFmtId="0" fontId="2" fillId="0" borderId="0" xfId="0" applyFont="1" applyAlignment="1">
      <alignment vertical="center"/>
    </xf>
    <xf numFmtId="0" fontId="2" fillId="0" borderId="45" xfId="0" applyFont="1" applyBorder="1" applyAlignment="1">
      <alignment vertical="center" wrapText="1"/>
    </xf>
    <xf numFmtId="0" fontId="1" fillId="0" borderId="53" xfId="0" applyFont="1" applyBorder="1" applyAlignment="1">
      <alignment horizontal="left" vertical="center" wrapText="1"/>
    </xf>
    <xf numFmtId="0" fontId="27" fillId="0" borderId="0" xfId="0" applyFont="1"/>
    <xf numFmtId="0" fontId="0" fillId="0" borderId="0" xfId="0" applyAlignment="1">
      <alignment horizontal="right"/>
    </xf>
    <xf numFmtId="0" fontId="27" fillId="0" borderId="0" xfId="0" applyFont="1" applyAlignment="1">
      <alignment horizontal="right"/>
    </xf>
    <xf numFmtId="0" fontId="2" fillId="0" borderId="17" xfId="0" applyFont="1" applyBorder="1" applyAlignment="1">
      <alignment horizontal="left"/>
    </xf>
    <xf numFmtId="0" fontId="2" fillId="0" borderId="1" xfId="0" applyFont="1" applyBorder="1" applyAlignment="1">
      <alignment horizontal="left"/>
    </xf>
    <xf numFmtId="0" fontId="2" fillId="0" borderId="57" xfId="0" applyFont="1" applyBorder="1" applyAlignment="1">
      <alignment horizontal="left"/>
    </xf>
    <xf numFmtId="0" fontId="2" fillId="0" borderId="8" xfId="0" applyFont="1" applyBorder="1" applyAlignment="1">
      <alignment horizontal="left"/>
    </xf>
    <xf numFmtId="0" fontId="2" fillId="0" borderId="12" xfId="0" applyFont="1" applyBorder="1" applyAlignment="1">
      <alignment vertical="center"/>
    </xf>
    <xf numFmtId="0" fontId="0" fillId="0" borderId="0" xfId="0" applyAlignment="1">
      <alignment horizontal="left" vertical="center" wrapText="1"/>
    </xf>
    <xf numFmtId="0" fontId="1" fillId="5" borderId="41" xfId="0" applyFont="1" applyFill="1" applyBorder="1" applyAlignment="1">
      <alignment horizontal="center" vertical="top" wrapText="1"/>
    </xf>
    <xf numFmtId="0" fontId="1" fillId="5" borderId="0" xfId="0" applyFont="1" applyFill="1" applyAlignment="1">
      <alignment horizontal="center" vertical="top" wrapText="1"/>
    </xf>
    <xf numFmtId="0" fontId="1" fillId="5" borderId="5" xfId="0" applyFont="1" applyFill="1" applyBorder="1" applyAlignment="1">
      <alignment horizontal="center" vertical="top" wrapText="1"/>
    </xf>
    <xf numFmtId="0" fontId="1" fillId="0" borderId="37" xfId="0" applyFont="1" applyBorder="1"/>
    <xf numFmtId="0" fontId="1" fillId="0" borderId="61" xfId="0" applyFont="1" applyBorder="1"/>
    <xf numFmtId="0" fontId="1" fillId="0" borderId="58" xfId="0" applyFont="1" applyBorder="1"/>
    <xf numFmtId="0" fontId="46" fillId="0" borderId="0" xfId="0" applyFont="1" applyAlignment="1">
      <alignment horizontal="center" vertical="center"/>
    </xf>
    <xf numFmtId="0" fontId="1" fillId="13" borderId="7" xfId="0" applyFont="1" applyFill="1" applyBorder="1" applyAlignment="1">
      <alignment horizontal="left" vertical="center" wrapText="1"/>
    </xf>
    <xf numFmtId="2" fontId="1" fillId="0" borderId="0" xfId="0" applyNumberFormat="1" applyFont="1" applyAlignment="1">
      <alignment horizontal="right" vertical="center" wrapText="1"/>
    </xf>
    <xf numFmtId="0" fontId="13" fillId="0" borderId="0" xfId="0" applyFont="1" applyAlignment="1" applyProtection="1">
      <alignment vertical="top" wrapText="1"/>
      <protection locked="0"/>
    </xf>
    <xf numFmtId="0" fontId="31" fillId="0" borderId="0" xfId="6" applyFont="1" applyProtection="1">
      <protection locked="0"/>
    </xf>
    <xf numFmtId="0" fontId="13" fillId="0" borderId="0" xfId="0" applyFont="1" applyAlignment="1" applyProtection="1">
      <alignment vertical="center" wrapText="1"/>
      <protection locked="0"/>
    </xf>
    <xf numFmtId="2" fontId="21" fillId="0" borderId="1" xfId="0" applyNumberFormat="1" applyFont="1" applyBorder="1" applyAlignment="1">
      <alignment horizontal="center" vertical="center" wrapText="1"/>
    </xf>
    <xf numFmtId="0" fontId="1" fillId="4" borderId="41" xfId="0" applyFont="1" applyFill="1" applyBorder="1" applyAlignment="1">
      <alignment vertical="center" wrapText="1"/>
    </xf>
    <xf numFmtId="0" fontId="1" fillId="4" borderId="5" xfId="0" applyFont="1" applyFill="1" applyBorder="1" applyAlignment="1">
      <alignment vertical="center" wrapText="1"/>
    </xf>
    <xf numFmtId="9" fontId="1" fillId="9" borderId="22" xfId="5" applyFont="1" applyFill="1" applyBorder="1" applyAlignment="1" applyProtection="1">
      <alignment vertical="center" wrapText="1"/>
    </xf>
    <xf numFmtId="0" fontId="1" fillId="5" borderId="22" xfId="0" applyFont="1" applyFill="1" applyBorder="1" applyAlignment="1">
      <alignment vertical="center" wrapText="1"/>
    </xf>
    <xf numFmtId="0" fontId="1" fillId="16" borderId="22" xfId="0" applyFont="1" applyFill="1" applyBorder="1" applyAlignment="1">
      <alignment vertical="center" wrapText="1"/>
    </xf>
    <xf numFmtId="0" fontId="1" fillId="5" borderId="31" xfId="0" applyFont="1" applyFill="1" applyBorder="1" applyAlignment="1">
      <alignment vertical="center" wrapText="1"/>
    </xf>
    <xf numFmtId="0" fontId="22" fillId="5" borderId="23" xfId="0" applyFont="1" applyFill="1" applyBorder="1" applyAlignment="1">
      <alignment vertical="center" wrapText="1"/>
    </xf>
    <xf numFmtId="0" fontId="21" fillId="5" borderId="3" xfId="0" applyFont="1" applyFill="1" applyBorder="1" applyAlignment="1">
      <alignment horizontal="center" vertical="center"/>
    </xf>
    <xf numFmtId="0" fontId="1" fillId="5" borderId="14" xfId="0" applyFont="1" applyFill="1" applyBorder="1" applyAlignment="1">
      <alignment vertical="center"/>
    </xf>
    <xf numFmtId="0" fontId="1" fillId="5" borderId="19" xfId="0" applyFont="1" applyFill="1" applyBorder="1" applyAlignment="1">
      <alignment vertical="center"/>
    </xf>
    <xf numFmtId="0" fontId="1" fillId="0" borderId="33" xfId="0" applyFont="1" applyBorder="1" applyAlignment="1">
      <alignment vertical="center"/>
    </xf>
    <xf numFmtId="0" fontId="1" fillId="4" borderId="33" xfId="0" applyFont="1" applyFill="1" applyBorder="1" applyAlignment="1">
      <alignment vertical="center" wrapText="1"/>
    </xf>
    <xf numFmtId="0" fontId="1" fillId="5" borderId="47" xfId="0" applyFont="1" applyFill="1" applyBorder="1" applyAlignment="1">
      <alignment vertical="center"/>
    </xf>
    <xf numFmtId="0" fontId="1" fillId="5" borderId="42" xfId="0" applyFont="1" applyFill="1" applyBorder="1" applyAlignment="1">
      <alignment vertical="center" wrapText="1"/>
    </xf>
    <xf numFmtId="0" fontId="1" fillId="4" borderId="8" xfId="0" applyFont="1" applyFill="1" applyBorder="1" applyAlignment="1">
      <alignment vertical="center" wrapText="1"/>
    </xf>
    <xf numFmtId="0" fontId="1" fillId="4" borderId="57" xfId="0" applyFont="1" applyFill="1" applyBorder="1" applyAlignment="1">
      <alignment vertical="center" wrapText="1"/>
    </xf>
    <xf numFmtId="0" fontId="1" fillId="16" borderId="0" xfId="0" applyFont="1" applyFill="1" applyAlignment="1" applyProtection="1">
      <alignment horizontal="center" vertical="center"/>
      <protection locked="0"/>
    </xf>
    <xf numFmtId="0" fontId="1" fillId="16" borderId="0" xfId="0" applyFont="1" applyFill="1" applyAlignment="1">
      <alignment horizontal="left" vertical="center"/>
    </xf>
    <xf numFmtId="0" fontId="1" fillId="16" borderId="62" xfId="0" applyFont="1" applyFill="1" applyBorder="1" applyAlignment="1" applyProtection="1">
      <alignment horizontal="center" vertical="center"/>
      <protection locked="0"/>
    </xf>
    <xf numFmtId="0" fontId="1" fillId="0" borderId="10" xfId="0" applyFont="1" applyBorder="1"/>
    <xf numFmtId="0" fontId="1" fillId="0" borderId="12" xfId="0" applyFont="1" applyBorder="1"/>
    <xf numFmtId="0" fontId="38" fillId="0" borderId="0" xfId="0" applyFont="1"/>
    <xf numFmtId="0" fontId="21" fillId="14" borderId="66" xfId="0" applyFont="1" applyFill="1" applyBorder="1" applyAlignment="1" applyProtection="1">
      <alignment horizontal="center" vertical="center"/>
      <protection locked="0"/>
    </xf>
    <xf numFmtId="0" fontId="30" fillId="0" borderId="6" xfId="6" applyFill="1" applyBorder="1" applyAlignment="1" applyProtection="1">
      <alignment vertical="center" wrapText="1"/>
    </xf>
    <xf numFmtId="0" fontId="21" fillId="14" borderId="56" xfId="0" applyFont="1" applyFill="1" applyBorder="1" applyAlignment="1" applyProtection="1">
      <alignment vertical="center" wrapText="1"/>
      <protection locked="0"/>
    </xf>
    <xf numFmtId="0" fontId="1" fillId="16" borderId="6" xfId="0" applyFont="1" applyFill="1" applyBorder="1" applyAlignment="1">
      <alignment vertical="top" wrapText="1"/>
    </xf>
    <xf numFmtId="0" fontId="1" fillId="16" borderId="22" xfId="0" applyFont="1" applyFill="1" applyBorder="1" applyAlignment="1">
      <alignment vertical="top" wrapText="1"/>
    </xf>
    <xf numFmtId="0" fontId="1" fillId="16" borderId="24" xfId="0" applyFont="1" applyFill="1" applyBorder="1" applyAlignment="1">
      <alignment vertical="top" wrapText="1"/>
    </xf>
    <xf numFmtId="0" fontId="1" fillId="12" borderId="24" xfId="0" applyFont="1" applyFill="1" applyBorder="1" applyAlignment="1">
      <alignment vertical="top" wrapText="1"/>
    </xf>
    <xf numFmtId="0" fontId="1" fillId="12" borderId="17" xfId="0" applyFont="1" applyFill="1" applyBorder="1" applyAlignment="1">
      <alignment horizontal="left" vertical="center" wrapText="1"/>
    </xf>
    <xf numFmtId="165" fontId="1" fillId="16" borderId="1" xfId="0" applyNumberFormat="1" applyFont="1" applyFill="1" applyBorder="1" applyAlignment="1">
      <alignment horizontal="center" vertical="center" wrapText="1"/>
    </xf>
    <xf numFmtId="0" fontId="1" fillId="12" borderId="1" xfId="0" applyFont="1" applyFill="1" applyBorder="1" applyAlignment="1">
      <alignment horizontal="right" vertical="center" wrapText="1"/>
    </xf>
    <xf numFmtId="0" fontId="1" fillId="9" borderId="1" xfId="5" applyNumberFormat="1" applyFont="1" applyFill="1" applyBorder="1" applyAlignment="1" applyProtection="1">
      <alignment horizontal="center" vertical="center" wrapText="1"/>
    </xf>
    <xf numFmtId="0" fontId="1" fillId="12" borderId="6" xfId="0" applyFont="1" applyFill="1" applyBorder="1" applyAlignment="1">
      <alignment horizontal="left" vertical="center" wrapText="1"/>
    </xf>
    <xf numFmtId="0" fontId="1" fillId="0" borderId="22" xfId="0" applyFont="1" applyBorder="1" applyAlignment="1">
      <alignment vertical="center" wrapText="1"/>
    </xf>
    <xf numFmtId="0" fontId="21" fillId="14" borderId="26" xfId="0" applyFont="1" applyFill="1" applyBorder="1" applyAlignment="1" applyProtection="1">
      <alignment vertical="center" wrapText="1"/>
      <protection locked="0"/>
    </xf>
    <xf numFmtId="0" fontId="1" fillId="5" borderId="2" xfId="0" applyFont="1" applyFill="1" applyBorder="1" applyAlignment="1">
      <alignment horizontal="center" vertical="center" wrapText="1"/>
    </xf>
    <xf numFmtId="165" fontId="17" fillId="0" borderId="0" xfId="0" applyNumberFormat="1" applyFont="1"/>
    <xf numFmtId="0" fontId="21" fillId="5" borderId="20" xfId="0" applyFont="1" applyFill="1" applyBorder="1" applyAlignment="1">
      <alignment vertical="center" wrapText="1"/>
    </xf>
    <xf numFmtId="0" fontId="41" fillId="0" borderId="0" xfId="0" applyFont="1"/>
    <xf numFmtId="0" fontId="13" fillId="0" borderId="0" xfId="0" applyFont="1" applyAlignment="1">
      <alignment vertical="center" wrapText="1"/>
    </xf>
    <xf numFmtId="0" fontId="24" fillId="13" borderId="0" xfId="0" applyFont="1" applyFill="1"/>
    <xf numFmtId="0" fontId="24" fillId="13" borderId="0" xfId="0" applyFont="1" applyFill="1" applyAlignment="1">
      <alignment vertical="center"/>
    </xf>
    <xf numFmtId="2" fontId="24" fillId="13" borderId="0" xfId="0" applyNumberFormat="1" applyFont="1" applyFill="1" applyAlignment="1">
      <alignment horizontal="right"/>
    </xf>
    <xf numFmtId="0" fontId="24" fillId="13" borderId="0" xfId="0" applyFont="1" applyFill="1" applyAlignment="1">
      <alignment horizontal="left" vertical="center"/>
    </xf>
    <xf numFmtId="2" fontId="24" fillId="13" borderId="0" xfId="0" applyNumberFormat="1" applyFont="1" applyFill="1"/>
    <xf numFmtId="0" fontId="13" fillId="13" borderId="0" xfId="0" applyFont="1" applyFill="1" applyAlignment="1">
      <alignment wrapText="1"/>
    </xf>
    <xf numFmtId="2" fontId="13" fillId="13" borderId="0" xfId="0" applyNumberFormat="1" applyFont="1" applyFill="1"/>
    <xf numFmtId="0" fontId="23" fillId="0" borderId="0" xfId="0" applyFont="1"/>
    <xf numFmtId="2" fontId="13" fillId="0" borderId="0" xfId="0" applyNumberFormat="1" applyFont="1"/>
    <xf numFmtId="2" fontId="24" fillId="0" borderId="0" xfId="0" applyNumberFormat="1" applyFont="1"/>
    <xf numFmtId="0" fontId="48" fillId="13" borderId="0" xfId="0" applyFont="1" applyFill="1" applyAlignment="1">
      <alignment vertical="center"/>
    </xf>
    <xf numFmtId="0" fontId="32" fillId="13" borderId="23" xfId="0" applyFont="1" applyFill="1" applyBorder="1" applyAlignment="1" applyProtection="1">
      <alignment horizontal="center" vertical="top" wrapText="1"/>
      <protection locked="0"/>
    </xf>
    <xf numFmtId="0" fontId="32" fillId="13" borderId="48" xfId="0" applyFont="1" applyFill="1" applyBorder="1" applyAlignment="1" applyProtection="1">
      <alignment horizontal="center" vertical="top" wrapText="1"/>
      <protection locked="0"/>
    </xf>
    <xf numFmtId="0" fontId="32" fillId="13" borderId="56" xfId="0" applyFont="1" applyFill="1" applyBorder="1" applyAlignment="1" applyProtection="1">
      <alignment horizontal="center" vertical="top" wrapText="1"/>
      <protection locked="0"/>
    </xf>
    <xf numFmtId="0" fontId="22" fillId="13" borderId="23" xfId="0" applyFont="1" applyFill="1" applyBorder="1" applyAlignment="1" applyProtection="1">
      <alignment vertical="center" wrapText="1"/>
      <protection locked="0"/>
    </xf>
    <xf numFmtId="0" fontId="22" fillId="13" borderId="48" xfId="0" applyFont="1" applyFill="1" applyBorder="1" applyAlignment="1" applyProtection="1">
      <alignment horizontal="center" vertical="center" wrapText="1"/>
      <protection locked="0"/>
    </xf>
    <xf numFmtId="0" fontId="22" fillId="13" borderId="52" xfId="0" applyFont="1" applyFill="1" applyBorder="1" applyAlignment="1" applyProtection="1">
      <alignment horizontal="center" vertical="center" wrapText="1"/>
      <protection locked="0"/>
    </xf>
    <xf numFmtId="0" fontId="22" fillId="13" borderId="37" xfId="0" applyFont="1" applyFill="1" applyBorder="1" applyAlignment="1" applyProtection="1">
      <alignment horizontal="center" vertical="center" wrapText="1"/>
      <protection locked="0"/>
    </xf>
    <xf numFmtId="0" fontId="7" fillId="13" borderId="51" xfId="0" applyFont="1" applyFill="1" applyBorder="1" applyAlignment="1" applyProtection="1">
      <alignment vertical="center" wrapText="1"/>
      <protection locked="0"/>
    </xf>
    <xf numFmtId="0" fontId="7" fillId="13" borderId="52" xfId="0" applyFont="1" applyFill="1" applyBorder="1" applyAlignment="1" applyProtection="1">
      <alignment vertical="center" wrapText="1"/>
      <protection locked="0"/>
    </xf>
    <xf numFmtId="0" fontId="2" fillId="13" borderId="52" xfId="0" applyFont="1" applyFill="1" applyBorder="1" applyAlignment="1" applyProtection="1">
      <alignment vertical="center" wrapText="1"/>
      <protection locked="0"/>
    </xf>
    <xf numFmtId="0" fontId="2" fillId="13" borderId="53" xfId="0" applyFont="1" applyFill="1" applyBorder="1" applyAlignment="1" applyProtection="1">
      <alignment vertical="center" wrapText="1"/>
      <protection locked="0"/>
    </xf>
    <xf numFmtId="0" fontId="1" fillId="13" borderId="52" xfId="0" applyFont="1" applyFill="1" applyBorder="1" applyAlignment="1" applyProtection="1">
      <alignment vertical="center" wrapText="1"/>
      <protection locked="0"/>
    </xf>
    <xf numFmtId="0" fontId="1" fillId="13" borderId="56" xfId="0" applyFont="1" applyFill="1" applyBorder="1" applyAlignment="1" applyProtection="1">
      <alignment horizontal="left" vertical="top" wrapText="1"/>
      <protection locked="0"/>
    </xf>
    <xf numFmtId="0" fontId="13" fillId="13" borderId="0" xfId="0" applyFont="1" applyFill="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horizontal="left" vertical="center"/>
    </xf>
    <xf numFmtId="0" fontId="13" fillId="12" borderId="0" xfId="0" applyFont="1" applyFill="1" applyAlignment="1">
      <alignment horizontal="center" vertical="center"/>
    </xf>
    <xf numFmtId="0" fontId="24" fillId="0" borderId="0" xfId="0" applyFont="1" applyAlignment="1">
      <alignment vertical="center"/>
    </xf>
    <xf numFmtId="0" fontId="12" fillId="0" borderId="0" xfId="0" applyFont="1" applyAlignment="1">
      <alignment wrapText="1"/>
    </xf>
    <xf numFmtId="0" fontId="13" fillId="0" borderId="0" xfId="0" applyFont="1" applyProtection="1">
      <protection locked="0"/>
    </xf>
    <xf numFmtId="0" fontId="13" fillId="0" borderId="0" xfId="0" applyFont="1" applyAlignment="1" applyProtection="1">
      <alignment wrapText="1"/>
      <protection locked="0"/>
    </xf>
    <xf numFmtId="0" fontId="14" fillId="0" borderId="0" xfId="0" applyFont="1" applyAlignment="1" applyProtection="1">
      <alignment vertical="top" wrapText="1"/>
      <protection locked="0"/>
    </xf>
    <xf numFmtId="0" fontId="13" fillId="0" borderId="0" xfId="0" applyFont="1" applyAlignment="1">
      <alignment vertical="top" wrapText="1"/>
    </xf>
    <xf numFmtId="0" fontId="13" fillId="0" borderId="0" xfId="0" applyFont="1" applyAlignment="1">
      <alignment horizontal="left" vertical="center" wrapText="1"/>
    </xf>
    <xf numFmtId="0" fontId="24" fillId="0" borderId="0" xfId="0" applyFont="1" applyAlignment="1" applyProtection="1">
      <alignment wrapText="1"/>
      <protection locked="0"/>
    </xf>
    <xf numFmtId="0" fontId="13" fillId="0" borderId="0" xfId="0" applyFont="1" applyAlignment="1">
      <alignment vertical="top"/>
    </xf>
    <xf numFmtId="0" fontId="13" fillId="0" borderId="0" xfId="0" applyFont="1" applyAlignment="1" applyProtection="1">
      <alignment horizontal="left" vertical="top" wrapText="1"/>
      <protection locked="0"/>
    </xf>
    <xf numFmtId="0" fontId="13" fillId="0" borderId="0" xfId="0" applyFont="1" applyAlignment="1">
      <alignment horizontal="left" vertical="top" wrapText="1"/>
    </xf>
    <xf numFmtId="0" fontId="13" fillId="0" borderId="0" xfId="0" applyFont="1" applyAlignment="1" applyProtection="1">
      <alignment vertical="center"/>
      <protection locked="0"/>
    </xf>
    <xf numFmtId="0" fontId="24" fillId="0" borderId="0" xfId="0" applyFont="1" applyAlignment="1" applyProtection="1">
      <alignment vertical="center" wrapText="1"/>
      <protection locked="0"/>
    </xf>
    <xf numFmtId="0" fontId="13" fillId="0" borderId="0" xfId="0" applyFont="1" applyAlignment="1" applyProtection="1">
      <alignment horizontal="center" vertical="center" wrapText="1"/>
      <protection locked="0"/>
    </xf>
    <xf numFmtId="0" fontId="1" fillId="5" borderId="31" xfId="0" applyFont="1" applyFill="1" applyBorder="1" applyAlignment="1">
      <alignment horizontal="center" vertical="center"/>
    </xf>
    <xf numFmtId="0" fontId="21" fillId="5" borderId="22" xfId="0" applyFont="1" applyFill="1" applyBorder="1" applyAlignment="1">
      <alignment horizontal="center" vertical="center"/>
    </xf>
    <xf numFmtId="0" fontId="21" fillId="14" borderId="23" xfId="0" applyFont="1" applyFill="1" applyBorder="1" applyAlignment="1" applyProtection="1">
      <alignment horizontal="center" vertical="center" wrapText="1"/>
      <protection locked="0"/>
    </xf>
    <xf numFmtId="2" fontId="28" fillId="0" borderId="62" xfId="0" applyNumberFormat="1" applyFont="1" applyBorder="1" applyAlignment="1">
      <alignment horizontal="right"/>
    </xf>
    <xf numFmtId="0" fontId="28" fillId="0" borderId="66" xfId="0" applyFont="1" applyBorder="1"/>
    <xf numFmtId="0" fontId="28" fillId="0" borderId="65" xfId="0" applyFont="1" applyBorder="1"/>
    <xf numFmtId="2" fontId="28" fillId="0" borderId="9" xfId="0" applyNumberFormat="1" applyFont="1" applyBorder="1"/>
    <xf numFmtId="0" fontId="24" fillId="0" borderId="0" xfId="0" applyFont="1" applyAlignment="1">
      <alignment horizontal="left" vertical="center"/>
    </xf>
    <xf numFmtId="2" fontId="13" fillId="0" borderId="0" xfId="0" applyNumberFormat="1" applyFont="1" applyAlignment="1">
      <alignment vertical="center"/>
    </xf>
    <xf numFmtId="165" fontId="13" fillId="0" borderId="0" xfId="0" applyNumberFormat="1" applyFont="1" applyAlignment="1">
      <alignment vertical="center"/>
    </xf>
    <xf numFmtId="0" fontId="24" fillId="0" borderId="0" xfId="0" applyFont="1" applyAlignment="1">
      <alignment horizontal="center" vertical="center"/>
    </xf>
    <xf numFmtId="0" fontId="49" fillId="13" borderId="0" xfId="0" applyFont="1" applyFill="1"/>
    <xf numFmtId="0" fontId="49" fillId="0" borderId="0" xfId="0" applyFont="1" applyAlignment="1">
      <alignment wrapText="1"/>
    </xf>
    <xf numFmtId="0" fontId="49" fillId="0" borderId="0" xfId="0" applyFont="1"/>
    <xf numFmtId="0" fontId="49" fillId="0" borderId="0" xfId="0" applyFont="1" applyAlignment="1">
      <alignment vertical="center" wrapText="1"/>
    </xf>
    <xf numFmtId="0" fontId="0" fillId="0" borderId="45" xfId="0" applyBorder="1"/>
    <xf numFmtId="0" fontId="0" fillId="0" borderId="43" xfId="0" applyBorder="1"/>
    <xf numFmtId="0" fontId="1" fillId="0" borderId="61" xfId="0" applyFont="1" applyBorder="1" applyAlignment="1">
      <alignment vertical="center"/>
    </xf>
    <xf numFmtId="0" fontId="1" fillId="0" borderId="53" xfId="0" applyFont="1" applyBorder="1" applyAlignment="1">
      <alignment vertical="center"/>
    </xf>
    <xf numFmtId="0" fontId="0" fillId="0" borderId="40" xfId="0" applyBorder="1"/>
    <xf numFmtId="14" fontId="1" fillId="0" borderId="9" xfId="0" applyNumberFormat="1" applyFont="1" applyBorder="1" applyAlignment="1">
      <alignment horizontal="right"/>
    </xf>
    <xf numFmtId="0" fontId="1" fillId="0" borderId="9" xfId="0" applyFont="1" applyBorder="1" applyAlignment="1">
      <alignment horizontal="right"/>
    </xf>
    <xf numFmtId="0" fontId="1" fillId="0" borderId="3" xfId="0" applyFont="1" applyBorder="1" applyAlignment="1">
      <alignment horizontal="right" vertical="center" wrapText="1"/>
    </xf>
    <xf numFmtId="0" fontId="1" fillId="0" borderId="13" xfId="0" applyFont="1" applyBorder="1" applyAlignment="1">
      <alignment horizontal="right" vertical="center" wrapText="1"/>
    </xf>
    <xf numFmtId="0" fontId="1" fillId="0" borderId="9" xfId="0" applyFont="1" applyBorder="1" applyAlignment="1">
      <alignment horizontal="right" vertical="center" wrapText="1"/>
    </xf>
    <xf numFmtId="0" fontId="0" fillId="0" borderId="9" xfId="0" applyBorder="1" applyAlignment="1">
      <alignment horizontal="right" vertical="center" wrapText="1"/>
    </xf>
    <xf numFmtId="2" fontId="1" fillId="0" borderId="13" xfId="0" applyNumberFormat="1" applyFont="1" applyBorder="1" applyAlignment="1">
      <alignment horizontal="right"/>
    </xf>
    <xf numFmtId="0" fontId="1" fillId="0" borderId="13" xfId="0" applyFont="1" applyBorder="1" applyAlignment="1">
      <alignment horizontal="right"/>
    </xf>
    <xf numFmtId="2" fontId="1" fillId="0" borderId="74" xfId="0" applyNumberFormat="1" applyFont="1" applyBorder="1" applyAlignment="1">
      <alignment horizontal="right"/>
    </xf>
    <xf numFmtId="2" fontId="1" fillId="0" borderId="9" xfId="0" applyNumberFormat="1" applyFont="1" applyBorder="1" applyAlignment="1">
      <alignment horizontal="right"/>
    </xf>
    <xf numFmtId="0" fontId="1" fillId="0" borderId="74" xfId="0" applyFont="1" applyBorder="1" applyAlignment="1">
      <alignment horizontal="right"/>
    </xf>
    <xf numFmtId="2" fontId="1" fillId="0" borderId="0" xfId="0" applyNumberFormat="1" applyFont="1" applyAlignment="1">
      <alignment horizontal="right"/>
    </xf>
    <xf numFmtId="0" fontId="1" fillId="0" borderId="0" xfId="0" applyFont="1" applyAlignment="1">
      <alignment horizontal="right" wrapText="1"/>
    </xf>
    <xf numFmtId="0" fontId="17" fillId="0" borderId="45"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0" xfId="0" applyFont="1" applyBorder="1" applyAlignment="1">
      <alignment horizontal="center" vertical="center" wrapText="1"/>
    </xf>
    <xf numFmtId="0" fontId="17" fillId="21" borderId="41" xfId="0" applyFont="1" applyFill="1" applyBorder="1" applyAlignment="1">
      <alignment horizontal="center" vertical="center" wrapText="1"/>
    </xf>
    <xf numFmtId="0" fontId="17" fillId="21" borderId="0" xfId="0" applyFont="1" applyFill="1" applyAlignment="1">
      <alignment horizontal="center" vertical="center" wrapText="1"/>
    </xf>
    <xf numFmtId="0" fontId="17" fillId="21" borderId="37" xfId="0" applyFont="1" applyFill="1" applyBorder="1" applyAlignment="1">
      <alignment horizontal="center" vertical="center" wrapText="1"/>
    </xf>
    <xf numFmtId="0" fontId="17" fillId="21" borderId="61" xfId="0" applyFont="1" applyFill="1" applyBorder="1" applyAlignment="1">
      <alignment horizontal="center" vertical="center" wrapText="1"/>
    </xf>
    <xf numFmtId="0" fontId="17" fillId="21" borderId="59" xfId="0" applyFont="1" applyFill="1" applyBorder="1" applyAlignment="1">
      <alignment horizontal="center" vertical="center" wrapText="1"/>
    </xf>
    <xf numFmtId="0" fontId="17" fillId="21" borderId="58"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7" fillId="0" borderId="41" xfId="0" applyFont="1" applyBorder="1" applyAlignment="1">
      <alignment horizontal="center" vertical="center" wrapText="1"/>
    </xf>
    <xf numFmtId="0" fontId="17" fillId="0" borderId="0" xfId="0" applyFont="1" applyAlignment="1">
      <alignment horizontal="center" vertical="center" wrapText="1"/>
    </xf>
    <xf numFmtId="0" fontId="17" fillId="0" borderId="37"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58"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41" xfId="0" applyFont="1" applyBorder="1" applyAlignment="1">
      <alignment horizontal="center" vertical="center" wrapText="1"/>
    </xf>
    <xf numFmtId="0" fontId="37" fillId="0" borderId="0" xfId="0" applyFont="1" applyAlignment="1">
      <alignment horizontal="center" vertical="center" wrapText="1"/>
    </xf>
    <xf numFmtId="0" fontId="37" fillId="0" borderId="37" xfId="0" applyFont="1" applyBorder="1" applyAlignment="1">
      <alignment horizontal="center" vertical="center" wrapText="1"/>
    </xf>
    <xf numFmtId="0" fontId="17" fillId="17" borderId="41" xfId="0" applyFont="1" applyFill="1" applyBorder="1" applyAlignment="1">
      <alignment horizontal="center" vertical="center" wrapText="1"/>
    </xf>
    <xf numFmtId="0" fontId="17" fillId="17" borderId="0" xfId="0" applyFont="1" applyFill="1" applyAlignment="1">
      <alignment horizontal="center" vertical="center" wrapText="1"/>
    </xf>
    <xf numFmtId="0" fontId="17" fillId="17" borderId="37" xfId="0" applyFont="1" applyFill="1" applyBorder="1" applyAlignment="1">
      <alignment horizontal="center" vertical="center" wrapText="1"/>
    </xf>
    <xf numFmtId="0" fontId="17" fillId="14" borderId="41" xfId="0" applyFont="1" applyFill="1" applyBorder="1" applyAlignment="1">
      <alignment horizontal="center" vertical="center" wrapText="1"/>
    </xf>
    <xf numFmtId="0" fontId="17" fillId="14" borderId="0" xfId="0" applyFont="1" applyFill="1" applyAlignment="1">
      <alignment horizontal="center" vertical="center" wrapText="1"/>
    </xf>
    <xf numFmtId="0" fontId="17" fillId="14" borderId="37"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58"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0" xfId="0" applyFont="1" applyBorder="1" applyAlignment="1">
      <alignment horizontal="center" vertical="center" wrapText="1"/>
    </xf>
    <xf numFmtId="0" fontId="1" fillId="0" borderId="11" xfId="0" applyFont="1" applyBorder="1" applyAlignment="1">
      <alignment horizontal="center" vertical="center" wrapText="1"/>
    </xf>
    <xf numFmtId="0" fontId="2" fillId="16" borderId="17" xfId="0" applyFont="1" applyFill="1" applyBorder="1" applyAlignment="1">
      <alignment horizontal="left" vertical="center"/>
    </xf>
    <xf numFmtId="0" fontId="2" fillId="16" borderId="1" xfId="0" applyFont="1" applyFill="1" applyBorder="1" applyAlignment="1">
      <alignment horizontal="left" vertical="center"/>
    </xf>
    <xf numFmtId="0" fontId="2" fillId="16" borderId="17" xfId="0" applyFont="1" applyFill="1" applyBorder="1" applyAlignment="1">
      <alignment horizontal="left" vertical="center" wrapText="1"/>
    </xf>
    <xf numFmtId="0" fontId="2" fillId="16" borderId="1" xfId="0" applyFont="1" applyFill="1" applyBorder="1" applyAlignment="1">
      <alignment horizontal="left" vertical="center" wrapText="1"/>
    </xf>
    <xf numFmtId="0" fontId="1" fillId="16" borderId="19" xfId="0" applyFont="1" applyFill="1" applyBorder="1" applyAlignment="1">
      <alignment horizontal="left" vertical="center"/>
    </xf>
    <xf numFmtId="0" fontId="1" fillId="16" borderId="20" xfId="0" applyFont="1" applyFill="1" applyBorder="1" applyAlignment="1">
      <alignment horizontal="left" vertical="center"/>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14" borderId="42" xfId="0" applyFont="1" applyFill="1" applyBorder="1" applyAlignment="1" applyProtection="1">
      <alignment horizontal="center" vertical="center" wrapText="1"/>
      <protection locked="0"/>
    </xf>
    <xf numFmtId="0" fontId="1" fillId="14" borderId="40" xfId="0" applyFont="1" applyFill="1" applyBorder="1" applyAlignment="1" applyProtection="1">
      <alignment horizontal="center" vertical="center" wrapText="1"/>
      <protection locked="0"/>
    </xf>
    <xf numFmtId="0" fontId="1" fillId="5" borderId="71" xfId="0" applyFont="1" applyFill="1" applyBorder="1" applyAlignment="1">
      <alignment horizontal="center" vertical="center" wrapText="1"/>
    </xf>
    <xf numFmtId="0" fontId="1" fillId="5" borderId="6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61" xfId="0" applyFont="1" applyFill="1" applyBorder="1" applyAlignment="1">
      <alignment horizontal="center" vertical="center" wrapText="1"/>
    </xf>
    <xf numFmtId="0" fontId="1" fillId="5" borderId="59" xfId="0" applyFont="1" applyFill="1" applyBorder="1" applyAlignment="1">
      <alignment horizontal="center" vertical="center" wrapText="1"/>
    </xf>
    <xf numFmtId="0" fontId="1" fillId="5" borderId="49" xfId="0" applyFont="1" applyFill="1" applyBorder="1" applyAlignment="1">
      <alignment horizontal="center" vertical="center" wrapText="1"/>
    </xf>
    <xf numFmtId="0" fontId="1" fillId="5" borderId="45" xfId="0" applyFont="1" applyFill="1" applyBorder="1" applyAlignment="1">
      <alignment horizontal="center" vertical="center" wrapText="1"/>
    </xf>
    <xf numFmtId="0" fontId="1" fillId="5" borderId="43" xfId="0" applyFont="1" applyFill="1" applyBorder="1" applyAlignment="1">
      <alignment horizontal="center" vertical="center" wrapText="1"/>
    </xf>
    <xf numFmtId="0" fontId="1" fillId="5" borderId="44" xfId="0" applyFont="1" applyFill="1" applyBorder="1" applyAlignment="1">
      <alignment horizontal="center" vertical="center" wrapText="1"/>
    </xf>
    <xf numFmtId="0" fontId="1" fillId="16" borderId="11" xfId="0" applyFont="1" applyFill="1" applyBorder="1" applyAlignment="1">
      <alignment horizontal="center" vertical="center" wrapText="1"/>
    </xf>
    <xf numFmtId="0" fontId="1" fillId="16" borderId="12" xfId="0" applyFont="1" applyFill="1" applyBorder="1" applyAlignment="1">
      <alignment horizontal="center" vertical="center" wrapText="1"/>
    </xf>
    <xf numFmtId="0" fontId="1" fillId="0" borderId="34" xfId="0" applyFont="1" applyBorder="1" applyAlignment="1">
      <alignment horizontal="center" vertical="center" wrapText="1"/>
    </xf>
    <xf numFmtId="0" fontId="1" fillId="0" borderId="39" xfId="0" applyFont="1" applyBorder="1" applyAlignment="1">
      <alignment horizontal="center" vertical="center" wrapText="1"/>
    </xf>
    <xf numFmtId="0" fontId="1" fillId="5" borderId="14" xfId="0" applyFont="1" applyFill="1" applyBorder="1" applyAlignment="1">
      <alignment horizontal="center" vertical="top" wrapText="1"/>
    </xf>
    <xf numFmtId="0" fontId="1" fillId="5" borderId="15" xfId="0" applyFont="1" applyFill="1" applyBorder="1" applyAlignment="1">
      <alignment horizontal="center" vertical="top" wrapText="1"/>
    </xf>
    <xf numFmtId="0" fontId="1" fillId="5" borderId="17" xfId="0" applyFont="1" applyFill="1" applyBorder="1" applyAlignment="1">
      <alignment horizontal="center" vertical="top" wrapText="1"/>
    </xf>
    <xf numFmtId="0" fontId="1" fillId="5" borderId="1" xfId="0" applyFont="1" applyFill="1" applyBorder="1" applyAlignment="1">
      <alignment horizontal="center" vertical="top" wrapText="1"/>
    </xf>
    <xf numFmtId="0" fontId="1" fillId="5" borderId="19" xfId="0" applyFont="1" applyFill="1" applyBorder="1" applyAlignment="1">
      <alignment horizontal="center" vertical="top" wrapText="1"/>
    </xf>
    <xf numFmtId="0" fontId="1" fillId="5" borderId="20" xfId="0" applyFont="1" applyFill="1" applyBorder="1" applyAlignment="1">
      <alignment horizontal="center" vertical="top" wrapText="1"/>
    </xf>
    <xf numFmtId="0" fontId="1" fillId="0" borderId="60"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13" borderId="34" xfId="0" applyFont="1" applyFill="1" applyBorder="1" applyAlignment="1">
      <alignment horizontal="center" vertical="center" wrapText="1"/>
    </xf>
    <xf numFmtId="0" fontId="1" fillId="13" borderId="39" xfId="0" applyFont="1" applyFill="1" applyBorder="1" applyAlignment="1">
      <alignment horizontal="center" vertical="center" wrapText="1"/>
    </xf>
    <xf numFmtId="0" fontId="1" fillId="16" borderId="14" xfId="0" applyFont="1" applyFill="1" applyBorder="1" applyAlignment="1">
      <alignment horizontal="left" vertical="center" wrapText="1"/>
    </xf>
    <xf numFmtId="0" fontId="1" fillId="16" borderId="15" xfId="0" applyFont="1" applyFill="1" applyBorder="1" applyAlignment="1">
      <alignment horizontal="left" vertical="center" wrapText="1"/>
    </xf>
    <xf numFmtId="0" fontId="1" fillId="0" borderId="57"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6" xfId="0" applyFont="1" applyBorder="1" applyAlignment="1">
      <alignment horizontal="center" vertical="center" wrapText="1"/>
    </xf>
    <xf numFmtId="0" fontId="2" fillId="0" borderId="57" xfId="0" applyFont="1" applyBorder="1" applyAlignment="1">
      <alignment horizontal="center"/>
    </xf>
    <xf numFmtId="0" fontId="2" fillId="0" borderId="62" xfId="0" applyFont="1" applyBorder="1" applyAlignment="1">
      <alignment horizontal="center"/>
    </xf>
    <xf numFmtId="0" fontId="2" fillId="0" borderId="8" xfId="0" applyFont="1" applyBorder="1" applyAlignment="1">
      <alignment horizontal="center"/>
    </xf>
    <xf numFmtId="0" fontId="23" fillId="18" borderId="69" xfId="0" applyFont="1" applyFill="1" applyBorder="1" applyAlignment="1">
      <alignment horizontal="center" vertical="center"/>
    </xf>
    <xf numFmtId="0" fontId="23" fillId="18" borderId="64" xfId="0" applyFont="1" applyFill="1" applyBorder="1" applyAlignment="1">
      <alignment horizontal="center" vertical="center"/>
    </xf>
    <xf numFmtId="0" fontId="23" fillId="18" borderId="39" xfId="0" applyFont="1" applyFill="1" applyBorder="1" applyAlignment="1">
      <alignment horizontal="center" vertical="center"/>
    </xf>
    <xf numFmtId="0" fontId="2" fillId="0" borderId="42" xfId="0" applyFont="1" applyBorder="1" applyAlignment="1">
      <alignment horizontal="center" vertical="center" wrapText="1"/>
    </xf>
    <xf numFmtId="0" fontId="1" fillId="14" borderId="43" xfId="0" applyFont="1" applyFill="1" applyBorder="1" applyAlignment="1" applyProtection="1">
      <alignment horizontal="left" vertical="center"/>
      <protection locked="0"/>
    </xf>
    <xf numFmtId="0" fontId="1" fillId="14" borderId="40" xfId="0" applyFont="1" applyFill="1" applyBorder="1" applyAlignment="1" applyProtection="1">
      <alignment horizontal="left" vertical="center"/>
      <protection locked="0"/>
    </xf>
    <xf numFmtId="0" fontId="23" fillId="18" borderId="45" xfId="0" applyFont="1" applyFill="1" applyBorder="1" applyAlignment="1">
      <alignment horizontal="left" vertical="center" wrapText="1"/>
    </xf>
    <xf numFmtId="0" fontId="23" fillId="18" borderId="43" xfId="0" applyFont="1" applyFill="1" applyBorder="1" applyAlignment="1">
      <alignment horizontal="left" vertical="center" wrapText="1"/>
    </xf>
    <xf numFmtId="0" fontId="2" fillId="0" borderId="45" xfId="0" applyFont="1" applyBorder="1" applyAlignment="1">
      <alignment horizontal="center" vertical="center" wrapText="1"/>
    </xf>
    <xf numFmtId="2" fontId="28" fillId="0" borderId="62" xfId="0" applyNumberFormat="1" applyFont="1" applyBorder="1" applyAlignment="1">
      <alignment horizontal="right"/>
    </xf>
    <xf numFmtId="0" fontId="1" fillId="0" borderId="43" xfId="0" applyFont="1" applyBorder="1" applyAlignment="1">
      <alignment horizontal="center" vertical="center" wrapText="1"/>
    </xf>
    <xf numFmtId="0" fontId="27" fillId="0" borderId="40" xfId="0" applyFont="1" applyBorder="1" applyAlignment="1">
      <alignment horizontal="center" vertical="center" wrapText="1"/>
    </xf>
    <xf numFmtId="165" fontId="1" fillId="14" borderId="20" xfId="0" applyNumberFormat="1" applyFont="1" applyFill="1" applyBorder="1" applyAlignment="1" applyProtection="1">
      <alignment horizontal="left" vertical="center" wrapText="1"/>
      <protection locked="0"/>
    </xf>
    <xf numFmtId="165" fontId="1" fillId="14" borderId="34" xfId="0" applyNumberFormat="1" applyFont="1" applyFill="1" applyBorder="1" applyAlignment="1" applyProtection="1">
      <alignment horizontal="left" vertical="center" wrapText="1"/>
      <protection locked="0"/>
    </xf>
    <xf numFmtId="0" fontId="1" fillId="16" borderId="17" xfId="0" applyFont="1" applyFill="1" applyBorder="1" applyAlignment="1">
      <alignment horizontal="left" vertical="center" wrapText="1"/>
    </xf>
    <xf numFmtId="0" fontId="1" fillId="16" borderId="1" xfId="0" applyFont="1" applyFill="1" applyBorder="1" applyAlignment="1">
      <alignment horizontal="left" vertical="center" wrapText="1"/>
    </xf>
    <xf numFmtId="0" fontId="2" fillId="16" borderId="57" xfId="0" applyFont="1" applyFill="1" applyBorder="1" applyAlignment="1">
      <alignment horizontal="left" vertical="center"/>
    </xf>
    <xf numFmtId="0" fontId="2" fillId="16" borderId="62" xfId="0" applyFont="1" applyFill="1" applyBorder="1" applyAlignment="1">
      <alignment horizontal="left" vertical="center"/>
    </xf>
    <xf numFmtId="0" fontId="2" fillId="16" borderId="8" xfId="0" applyFont="1" applyFill="1" applyBorder="1" applyAlignment="1">
      <alignment horizontal="left" vertical="center"/>
    </xf>
    <xf numFmtId="0" fontId="2" fillId="8" borderId="10" xfId="0" applyFont="1" applyFill="1" applyBorder="1" applyAlignment="1">
      <alignment horizontal="center" vertical="center" textRotation="90" wrapText="1"/>
    </xf>
    <xf numFmtId="0" fontId="2" fillId="8" borderId="41" xfId="0" applyFont="1" applyFill="1" applyBorder="1" applyAlignment="1">
      <alignment horizontal="center" vertical="center" textRotation="90" wrapText="1"/>
    </xf>
    <xf numFmtId="0" fontId="2" fillId="8" borderId="61" xfId="0" applyFont="1" applyFill="1" applyBorder="1" applyAlignment="1">
      <alignment horizontal="center" vertical="center" textRotation="90" wrapText="1"/>
    </xf>
    <xf numFmtId="0" fontId="42" fillId="0" borderId="17"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61" xfId="0" applyFont="1" applyBorder="1" applyAlignment="1">
      <alignment horizontal="center" vertical="center" wrapText="1"/>
    </xf>
    <xf numFmtId="0" fontId="42" fillId="0" borderId="59" xfId="0" applyFont="1" applyBorder="1" applyAlignment="1">
      <alignment horizontal="center" vertical="center" wrapText="1"/>
    </xf>
    <xf numFmtId="0" fontId="2" fillId="0" borderId="41"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1" fillId="19" borderId="20" xfId="0" applyFont="1" applyFill="1" applyBorder="1" applyAlignment="1">
      <alignment horizontal="left" vertical="center" wrapText="1"/>
    </xf>
    <xf numFmtId="0" fontId="1" fillId="19" borderId="1" xfId="0" applyFont="1" applyFill="1" applyBorder="1" applyAlignment="1">
      <alignment horizontal="left"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46" xfId="0" applyFont="1" applyBorder="1" applyAlignment="1">
      <alignment horizontal="center" vertical="center" wrapText="1"/>
    </xf>
    <xf numFmtId="0" fontId="1" fillId="0" borderId="7" xfId="0" applyFont="1" applyBorder="1" applyAlignment="1">
      <alignment horizontal="left" vertical="center" wrapText="1"/>
    </xf>
    <xf numFmtId="0" fontId="1" fillId="0" borderId="66" xfId="0" applyFont="1" applyBorder="1" applyAlignment="1">
      <alignment horizontal="left" vertical="center" wrapText="1"/>
    </xf>
    <xf numFmtId="0" fontId="1" fillId="0" borderId="34" xfId="0" applyFont="1" applyBorder="1" applyAlignment="1">
      <alignment horizontal="left" vertical="center" wrapText="1"/>
    </xf>
    <xf numFmtId="0" fontId="1" fillId="0" borderId="67" xfId="0" applyFont="1" applyBorder="1" applyAlignment="1">
      <alignment horizontal="left" vertical="center" wrapText="1"/>
    </xf>
    <xf numFmtId="0" fontId="23" fillId="18" borderId="69" xfId="0" applyFont="1" applyFill="1" applyBorder="1" applyAlignment="1">
      <alignment horizontal="center" vertical="center" wrapText="1"/>
    </xf>
    <xf numFmtId="0" fontId="23" fillId="18" borderId="64" xfId="0" applyFont="1" applyFill="1" applyBorder="1" applyAlignment="1">
      <alignment horizontal="center" vertical="center" wrapText="1"/>
    </xf>
    <xf numFmtId="0" fontId="23" fillId="18" borderId="39" xfId="0" applyFont="1" applyFill="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0" xfId="0" applyFont="1" applyAlignment="1">
      <alignment horizontal="center" vertical="center" wrapText="1"/>
    </xf>
    <xf numFmtId="0" fontId="1" fillId="0" borderId="36" xfId="0" applyFont="1" applyBorder="1" applyAlignment="1">
      <alignment horizontal="center" vertical="center" wrapText="1"/>
    </xf>
    <xf numFmtId="0" fontId="1" fillId="0" borderId="59" xfId="0" applyFont="1" applyBorder="1" applyAlignment="1">
      <alignment horizontal="center" vertical="center" wrapText="1"/>
    </xf>
    <xf numFmtId="0" fontId="6" fillId="13" borderId="10"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6" fillId="13" borderId="41" xfId="0" applyFont="1" applyFill="1" applyBorder="1" applyAlignment="1">
      <alignment horizontal="center" vertical="center" wrapText="1"/>
    </xf>
    <xf numFmtId="0" fontId="6" fillId="13" borderId="0" xfId="0" applyFont="1" applyFill="1" applyAlignment="1">
      <alignment horizontal="center" vertical="center" wrapText="1"/>
    </xf>
    <xf numFmtId="0" fontId="6" fillId="13" borderId="37" xfId="0" applyFont="1" applyFill="1" applyBorder="1" applyAlignment="1">
      <alignment horizontal="center" vertical="center" wrapText="1"/>
    </xf>
    <xf numFmtId="0" fontId="6" fillId="13" borderId="61" xfId="0" applyFont="1" applyFill="1" applyBorder="1" applyAlignment="1">
      <alignment horizontal="center" vertical="center" wrapText="1"/>
    </xf>
    <xf numFmtId="0" fontId="6" fillId="13" borderId="59" xfId="0" applyFont="1" applyFill="1" applyBorder="1" applyAlignment="1">
      <alignment horizontal="center" vertical="center" wrapText="1"/>
    </xf>
    <xf numFmtId="0" fontId="6" fillId="13" borderId="58" xfId="0" applyFont="1" applyFill="1" applyBorder="1" applyAlignment="1">
      <alignment horizontal="center" vertical="center" wrapText="1"/>
    </xf>
    <xf numFmtId="0" fontId="1" fillId="0" borderId="60" xfId="0" applyFont="1" applyBorder="1" applyAlignment="1">
      <alignment horizontal="left" vertical="center" wrapText="1"/>
    </xf>
    <xf numFmtId="0" fontId="1" fillId="0" borderId="46" xfId="0" applyFont="1" applyBorder="1" applyAlignment="1">
      <alignment horizontal="left" vertical="center" wrapText="1"/>
    </xf>
    <xf numFmtId="0" fontId="2" fillId="14" borderId="35" xfId="0" applyFont="1" applyFill="1" applyBorder="1" applyAlignment="1">
      <alignment horizontal="center" vertical="center" wrapText="1"/>
    </xf>
    <xf numFmtId="0" fontId="2" fillId="14" borderId="12" xfId="0" applyFont="1" applyFill="1" applyBorder="1" applyAlignment="1">
      <alignment horizontal="center" vertical="center" wrapText="1"/>
    </xf>
    <xf numFmtId="0" fontId="2" fillId="5" borderId="10"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50" xfId="0" applyFont="1" applyFill="1" applyBorder="1" applyAlignment="1">
      <alignment horizontal="left" vertical="center" wrapText="1"/>
    </xf>
    <xf numFmtId="0" fontId="1" fillId="5" borderId="71" xfId="0" applyFont="1" applyFill="1" applyBorder="1" applyAlignment="1">
      <alignment horizontal="left" vertical="center" wrapText="1"/>
    </xf>
    <xf numFmtId="0" fontId="1" fillId="5" borderId="6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2" fillId="5" borderId="45" xfId="0" applyFont="1" applyFill="1" applyBorder="1" applyAlignment="1">
      <alignment horizontal="center" vertical="center"/>
    </xf>
    <xf numFmtId="0" fontId="2" fillId="5" borderId="43" xfId="0" applyFont="1" applyFill="1" applyBorder="1" applyAlignment="1">
      <alignment horizontal="center" vertical="center"/>
    </xf>
    <xf numFmtId="0" fontId="2" fillId="5" borderId="40" xfId="0" applyFont="1" applyFill="1" applyBorder="1" applyAlignment="1">
      <alignment horizontal="center" vertical="center"/>
    </xf>
    <xf numFmtId="0" fontId="1" fillId="5" borderId="41" xfId="0" applyFont="1" applyFill="1" applyBorder="1" applyAlignment="1">
      <alignment horizontal="center" vertical="top" wrapText="1"/>
    </xf>
    <xf numFmtId="0" fontId="1" fillId="5" borderId="0" xfId="0" applyFont="1" applyFill="1" applyAlignment="1">
      <alignment horizontal="center" vertical="top" wrapText="1"/>
    </xf>
    <xf numFmtId="0" fontId="1" fillId="5" borderId="5" xfId="0" applyFont="1" applyFill="1" applyBorder="1" applyAlignment="1">
      <alignment horizontal="center" vertical="top" wrapText="1"/>
    </xf>
    <xf numFmtId="0" fontId="1" fillId="5" borderId="61" xfId="0" applyFont="1" applyFill="1" applyBorder="1" applyAlignment="1">
      <alignment horizontal="left" vertical="center" wrapText="1"/>
    </xf>
    <xf numFmtId="0" fontId="1" fillId="5" borderId="59" xfId="0" applyFont="1" applyFill="1" applyBorder="1" applyAlignment="1">
      <alignment horizontal="left" vertical="center" wrapText="1"/>
    </xf>
    <xf numFmtId="0" fontId="1" fillId="5" borderId="41" xfId="0" applyFont="1" applyFill="1" applyBorder="1" applyAlignment="1">
      <alignment horizontal="left" vertical="center" wrapText="1"/>
    </xf>
    <xf numFmtId="0" fontId="1" fillId="5" borderId="0" xfId="0" applyFont="1" applyFill="1" applyAlignment="1">
      <alignment horizontal="left" vertical="center" wrapText="1"/>
    </xf>
    <xf numFmtId="0" fontId="1" fillId="5" borderId="5" xfId="0" applyFont="1" applyFill="1" applyBorder="1" applyAlignment="1">
      <alignment horizontal="left" vertical="center" wrapText="1"/>
    </xf>
    <xf numFmtId="0" fontId="1" fillId="19" borderId="15" xfId="0" applyFont="1" applyFill="1" applyBorder="1" applyAlignment="1">
      <alignment horizontal="left" vertical="center" wrapText="1"/>
    </xf>
    <xf numFmtId="0" fontId="1" fillId="19" borderId="1" xfId="0" applyFont="1" applyFill="1" applyBorder="1" applyAlignment="1">
      <alignment horizontal="left" vertical="center"/>
    </xf>
    <xf numFmtId="0" fontId="1" fillId="17" borderId="0" xfId="0" applyFont="1" applyFill="1" applyAlignment="1" applyProtection="1">
      <alignment horizontal="center" vertical="center" wrapText="1"/>
      <protection locked="0"/>
    </xf>
    <xf numFmtId="0" fontId="1" fillId="17" borderId="37" xfId="0" applyFont="1" applyFill="1" applyBorder="1" applyAlignment="1" applyProtection="1">
      <alignment horizontal="center" vertical="center" wrapText="1"/>
      <protection locked="0"/>
    </xf>
    <xf numFmtId="0" fontId="2" fillId="5" borderId="45" xfId="0" applyFont="1" applyFill="1" applyBorder="1" applyAlignment="1">
      <alignment horizontal="left" vertical="center" wrapText="1"/>
    </xf>
    <xf numFmtId="0" fontId="2" fillId="5" borderId="43" xfId="0" applyFont="1" applyFill="1" applyBorder="1" applyAlignment="1">
      <alignment horizontal="left" vertical="center" wrapText="1"/>
    </xf>
    <xf numFmtId="0" fontId="2" fillId="5" borderId="44" xfId="0" applyFont="1" applyFill="1" applyBorder="1" applyAlignment="1">
      <alignment horizontal="left" vertical="center" wrapText="1"/>
    </xf>
    <xf numFmtId="0" fontId="2" fillId="5" borderId="45" xfId="0" applyFont="1" applyFill="1" applyBorder="1" applyAlignment="1">
      <alignment horizontal="left" vertical="center"/>
    </xf>
    <xf numFmtId="0" fontId="2" fillId="5" borderId="43" xfId="0" applyFont="1" applyFill="1" applyBorder="1" applyAlignment="1">
      <alignment horizontal="left" vertical="center"/>
    </xf>
    <xf numFmtId="0" fontId="2" fillId="5" borderId="40" xfId="0" applyFont="1" applyFill="1" applyBorder="1" applyAlignment="1">
      <alignment horizontal="left" vertical="center"/>
    </xf>
    <xf numFmtId="0" fontId="1" fillId="5" borderId="31" xfId="0" applyFont="1" applyFill="1" applyBorder="1" applyAlignment="1">
      <alignment horizontal="center" vertical="center"/>
    </xf>
    <xf numFmtId="0" fontId="1" fillId="5" borderId="32" xfId="0" applyFont="1" applyFill="1" applyBorder="1" applyAlignment="1">
      <alignment horizontal="center" vertical="center"/>
    </xf>
    <xf numFmtId="0" fontId="1" fillId="5" borderId="33" xfId="0" applyFont="1" applyFill="1" applyBorder="1" applyAlignment="1">
      <alignment horizontal="center" vertical="center"/>
    </xf>
    <xf numFmtId="0" fontId="1" fillId="5" borderId="2" xfId="0" applyFont="1" applyFill="1" applyBorder="1" applyAlignment="1">
      <alignment horizontal="center" vertical="top" wrapText="1"/>
    </xf>
    <xf numFmtId="0" fontId="1" fillId="5" borderId="6" xfId="0" applyFont="1" applyFill="1" applyBorder="1" applyAlignment="1">
      <alignment horizontal="center" vertical="top" wrapText="1"/>
    </xf>
    <xf numFmtId="0" fontId="1" fillId="5" borderId="29" xfId="0" applyFont="1" applyFill="1" applyBorder="1" applyAlignment="1">
      <alignment horizontal="center" vertical="center"/>
    </xf>
    <xf numFmtId="0" fontId="1" fillId="5" borderId="22" xfId="0" applyFont="1" applyFill="1" applyBorder="1" applyAlignment="1">
      <alignment horizontal="center" vertical="top" wrapText="1"/>
    </xf>
    <xf numFmtId="0" fontId="1" fillId="5" borderId="7"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1" fillId="5" borderId="23" xfId="0" applyFont="1" applyFill="1" applyBorder="1" applyAlignment="1">
      <alignment horizontal="center" vertical="center"/>
    </xf>
    <xf numFmtId="0" fontId="21" fillId="5" borderId="56" xfId="0" applyFont="1" applyFill="1" applyBorder="1" applyAlignment="1">
      <alignment horizontal="center" vertical="center"/>
    </xf>
    <xf numFmtId="0" fontId="21" fillId="5" borderId="21" xfId="0" applyFont="1" applyFill="1" applyBorder="1" applyAlignment="1">
      <alignment horizontal="center" vertical="center"/>
    </xf>
    <xf numFmtId="0" fontId="21" fillId="14" borderId="60" xfId="0" applyFont="1" applyFill="1" applyBorder="1" applyAlignment="1" applyProtection="1">
      <alignment horizontal="center" vertical="center" wrapText="1"/>
      <protection locked="0"/>
    </xf>
    <xf numFmtId="0" fontId="21" fillId="14" borderId="46" xfId="0" applyFont="1" applyFill="1" applyBorder="1" applyAlignment="1" applyProtection="1">
      <alignment horizontal="center" vertical="center" wrapText="1"/>
      <protection locked="0"/>
    </xf>
    <xf numFmtId="0" fontId="1" fillId="5" borderId="60" xfId="0" applyFont="1" applyFill="1" applyBorder="1" applyAlignment="1">
      <alignment horizontal="left" vertical="center"/>
    </xf>
    <xf numFmtId="0" fontId="1" fillId="5" borderId="38" xfId="0" applyFont="1" applyFill="1" applyBorder="1" applyAlignment="1">
      <alignment horizontal="left" vertical="center"/>
    </xf>
    <xf numFmtId="0" fontId="1" fillId="5" borderId="8" xfId="0" applyFont="1" applyFill="1" applyBorder="1" applyAlignment="1">
      <alignment horizontal="left" vertical="center"/>
    </xf>
    <xf numFmtId="0" fontId="1" fillId="3" borderId="1" xfId="0" applyFont="1" applyFill="1" applyBorder="1" applyAlignment="1">
      <alignment horizontal="center" vertical="center" wrapText="1"/>
    </xf>
    <xf numFmtId="0" fontId="21" fillId="5" borderId="31" xfId="0" applyFont="1" applyFill="1" applyBorder="1" applyAlignment="1">
      <alignment horizontal="center" vertical="center"/>
    </xf>
    <xf numFmtId="0" fontId="21" fillId="5" borderId="32" xfId="0" applyFont="1" applyFill="1" applyBorder="1" applyAlignment="1">
      <alignment horizontal="center" vertical="center"/>
    </xf>
    <xf numFmtId="0" fontId="21" fillId="5" borderId="33"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0" xfId="0" applyFont="1" applyFill="1" applyAlignment="1">
      <alignment horizontal="center" vertical="center"/>
    </xf>
    <xf numFmtId="0" fontId="21" fillId="5" borderId="12" xfId="0" applyFont="1" applyFill="1" applyBorder="1" applyAlignment="1">
      <alignment horizontal="center" vertical="center"/>
    </xf>
    <xf numFmtId="0" fontId="21" fillId="5" borderId="37" xfId="0" applyFont="1" applyFill="1" applyBorder="1" applyAlignment="1">
      <alignment horizontal="center" vertical="center"/>
    </xf>
    <xf numFmtId="0" fontId="21" fillId="5" borderId="58" xfId="0" applyFont="1" applyFill="1" applyBorder="1" applyAlignment="1">
      <alignment horizontal="center" vertical="center"/>
    </xf>
    <xf numFmtId="0" fontId="21" fillId="14" borderId="60" xfId="0" applyFont="1" applyFill="1" applyBorder="1" applyAlignment="1" applyProtection="1">
      <alignment horizontal="center" vertical="center"/>
      <protection locked="0"/>
    </xf>
    <xf numFmtId="0" fontId="21" fillId="14" borderId="46" xfId="0" applyFont="1" applyFill="1" applyBorder="1" applyAlignment="1" applyProtection="1">
      <alignment horizontal="center" vertical="center"/>
      <protection locked="0"/>
    </xf>
    <xf numFmtId="0" fontId="1" fillId="5" borderId="24" xfId="0" applyFont="1" applyFill="1" applyBorder="1" applyAlignment="1">
      <alignment horizontal="center" vertical="top" wrapText="1"/>
    </xf>
    <xf numFmtId="0" fontId="21" fillId="5" borderId="5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13" xfId="0" applyFont="1" applyFill="1" applyBorder="1" applyAlignment="1">
      <alignment horizontal="center" vertical="center"/>
    </xf>
    <xf numFmtId="0" fontId="21" fillId="14" borderId="42" xfId="0" applyFont="1" applyFill="1" applyBorder="1" applyAlignment="1" applyProtection="1">
      <alignment horizontal="center" vertical="center" wrapText="1"/>
      <protection locked="0"/>
    </xf>
    <xf numFmtId="0" fontId="21" fillId="14" borderId="40" xfId="0" applyFont="1" applyFill="1" applyBorder="1" applyAlignment="1" applyProtection="1">
      <alignment horizontal="center" vertical="center" wrapText="1"/>
      <protection locked="0"/>
    </xf>
    <xf numFmtId="0" fontId="1" fillId="5" borderId="60" xfId="0" applyFont="1" applyFill="1" applyBorder="1" applyAlignment="1">
      <alignment horizontal="left" vertical="center" wrapText="1"/>
    </xf>
    <xf numFmtId="0" fontId="1" fillId="5" borderId="38" xfId="0" applyFont="1" applyFill="1" applyBorder="1" applyAlignment="1">
      <alignment horizontal="left" vertical="center" wrapText="1"/>
    </xf>
    <xf numFmtId="0" fontId="1" fillId="5" borderId="3" xfId="0" applyFont="1" applyFill="1" applyBorder="1" applyAlignment="1">
      <alignment horizontal="center" vertical="top" wrapText="1"/>
    </xf>
    <xf numFmtId="0" fontId="21" fillId="5" borderId="22"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1" fillId="5" borderId="24" xfId="0" applyFont="1" applyFill="1" applyBorder="1" applyAlignment="1">
      <alignment horizontal="center" vertical="center" wrapText="1"/>
    </xf>
    <xf numFmtId="0" fontId="1" fillId="5" borderId="42" xfId="0" applyFont="1" applyFill="1" applyBorder="1" applyAlignment="1">
      <alignment horizontal="left" vertical="center" wrapText="1"/>
    </xf>
    <xf numFmtId="0" fontId="1" fillId="5" borderId="44" xfId="0" applyFont="1" applyFill="1" applyBorder="1" applyAlignment="1">
      <alignment horizontal="left" vertical="center" wrapText="1"/>
    </xf>
    <xf numFmtId="0" fontId="1" fillId="5" borderId="6" xfId="0" applyFont="1" applyFill="1" applyBorder="1" applyAlignment="1">
      <alignment horizontal="center" vertical="center" wrapText="1"/>
    </xf>
    <xf numFmtId="0" fontId="1" fillId="3" borderId="2" xfId="0" applyFont="1" applyFill="1" applyBorder="1" applyAlignment="1">
      <alignment horizontal="center" vertical="top" wrapText="1"/>
    </xf>
    <xf numFmtId="0" fontId="1" fillId="3" borderId="6"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5" borderId="31"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21" fillId="5" borderId="22" xfId="0" applyFont="1" applyFill="1" applyBorder="1" applyAlignment="1">
      <alignment horizontal="center" vertical="center"/>
    </xf>
    <xf numFmtId="0" fontId="21" fillId="5" borderId="6" xfId="0" applyFont="1" applyFill="1" applyBorder="1" applyAlignment="1">
      <alignment horizontal="center" vertical="center"/>
    </xf>
    <xf numFmtId="0" fontId="25" fillId="3" borderId="2"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0" xfId="0" applyFont="1" applyBorder="1" applyAlignment="1">
      <alignment horizontal="center" vertical="center"/>
    </xf>
    <xf numFmtId="0" fontId="1" fillId="5" borderId="15" xfId="0" applyFont="1" applyFill="1" applyBorder="1" applyAlignment="1">
      <alignment horizontal="left" vertical="center" wrapText="1"/>
    </xf>
    <xf numFmtId="0" fontId="1" fillId="5" borderId="34" xfId="0" applyFont="1" applyFill="1" applyBorder="1" applyAlignment="1">
      <alignment horizontal="left" vertical="center" wrapText="1"/>
    </xf>
    <xf numFmtId="0" fontId="1" fillId="5" borderId="39" xfId="0" applyFont="1" applyFill="1" applyBorder="1" applyAlignment="1">
      <alignment horizontal="left" vertical="center" wrapText="1"/>
    </xf>
    <xf numFmtId="0" fontId="1" fillId="5" borderId="28" xfId="0" applyFont="1" applyFill="1" applyBorder="1" applyAlignment="1">
      <alignment horizontal="center" vertical="center"/>
    </xf>
    <xf numFmtId="0" fontId="21" fillId="5" borderId="3" xfId="0" applyFont="1" applyFill="1" applyBorder="1" applyAlignment="1">
      <alignment horizontal="center" vertical="center"/>
    </xf>
    <xf numFmtId="0" fontId="1" fillId="5" borderId="2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3" fillId="13" borderId="0" xfId="0" applyFont="1" applyFill="1" applyAlignment="1">
      <alignment horizontal="center" vertical="center" wrapText="1"/>
    </xf>
    <xf numFmtId="0" fontId="13" fillId="0" borderId="0" xfId="0" applyFont="1" applyAlignment="1">
      <alignment horizontal="left" vertical="center"/>
    </xf>
    <xf numFmtId="0" fontId="1" fillId="5" borderId="51" xfId="0" applyFont="1" applyFill="1" applyBorder="1" applyAlignment="1">
      <alignment horizontal="center" vertical="top" wrapText="1"/>
    </xf>
    <xf numFmtId="0" fontId="1" fillId="5" borderId="52" xfId="0" applyFont="1" applyFill="1" applyBorder="1" applyAlignment="1">
      <alignment horizontal="center" vertical="top" wrapText="1"/>
    </xf>
    <xf numFmtId="0" fontId="1" fillId="5" borderId="53" xfId="0" applyFont="1" applyFill="1" applyBorder="1" applyAlignment="1">
      <alignment horizontal="center" vertical="top" wrapText="1"/>
    </xf>
    <xf numFmtId="0" fontId="1" fillId="5" borderId="31" xfId="0" applyFont="1" applyFill="1" applyBorder="1" applyAlignment="1">
      <alignment horizontal="center" vertical="top" wrapText="1"/>
    </xf>
    <xf numFmtId="0" fontId="1" fillId="5" borderId="32" xfId="0" applyFont="1" applyFill="1" applyBorder="1" applyAlignment="1">
      <alignment horizontal="center" vertical="top" wrapText="1"/>
    </xf>
    <xf numFmtId="0" fontId="1" fillId="5" borderId="35" xfId="0" applyFont="1" applyFill="1" applyBorder="1" applyAlignment="1">
      <alignment horizontal="center" vertical="top" wrapText="1"/>
    </xf>
    <xf numFmtId="0" fontId="1" fillId="5" borderId="75" xfId="0" applyFont="1" applyFill="1" applyBorder="1" applyAlignment="1">
      <alignment horizontal="center" vertical="top" wrapText="1"/>
    </xf>
    <xf numFmtId="0" fontId="1" fillId="5" borderId="74" xfId="0" applyFont="1" applyFill="1" applyBorder="1" applyAlignment="1">
      <alignment horizontal="center" vertical="top" wrapText="1"/>
    </xf>
    <xf numFmtId="0" fontId="21" fillId="14" borderId="23" xfId="0" applyFont="1" applyFill="1" applyBorder="1" applyAlignment="1" applyProtection="1">
      <alignment horizontal="center" vertical="center" wrapText="1"/>
      <protection locked="0"/>
    </xf>
    <xf numFmtId="0" fontId="21" fillId="14" borderId="30" xfId="0" applyFont="1" applyFill="1" applyBorder="1" applyAlignment="1" applyProtection="1">
      <alignment horizontal="center" vertical="center" wrapText="1"/>
      <protection locked="0"/>
    </xf>
    <xf numFmtId="0" fontId="21" fillId="14" borderId="56" xfId="0" applyFont="1" applyFill="1" applyBorder="1" applyAlignment="1" applyProtection="1">
      <alignment horizontal="center" vertical="center" wrapText="1"/>
      <protection locked="0"/>
    </xf>
    <xf numFmtId="0" fontId="21" fillId="14" borderId="18" xfId="0" applyFont="1" applyFill="1" applyBorder="1" applyAlignment="1" applyProtection="1">
      <alignment horizontal="center" vertical="center" wrapText="1"/>
      <protection locked="0"/>
    </xf>
    <xf numFmtId="0" fontId="1" fillId="5" borderId="50" xfId="0" applyFont="1" applyFill="1" applyBorder="1" applyAlignment="1">
      <alignment horizontal="center" vertical="top" wrapText="1"/>
    </xf>
    <xf numFmtId="0" fontId="1" fillId="5" borderId="49" xfId="0" applyFont="1" applyFill="1" applyBorder="1" applyAlignment="1">
      <alignment horizontal="center"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4" fillId="0" borderId="0" xfId="0" applyFont="1" applyAlignment="1">
      <alignment horizontal="center" vertical="center" wrapText="1"/>
    </xf>
    <xf numFmtId="0" fontId="18" fillId="18" borderId="45" xfId="4" applyFont="1" applyFill="1" applyBorder="1" applyAlignment="1" applyProtection="1">
      <alignment horizontal="center" vertical="center"/>
    </xf>
    <xf numFmtId="0" fontId="18" fillId="18" borderId="43" xfId="4" applyFont="1" applyFill="1" applyBorder="1" applyAlignment="1" applyProtection="1">
      <alignment horizontal="center" vertical="center"/>
    </xf>
    <xf numFmtId="0" fontId="18" fillId="18" borderId="40" xfId="4" applyFont="1" applyFill="1" applyBorder="1" applyAlignment="1" applyProtection="1">
      <alignment horizontal="center" vertical="center"/>
    </xf>
    <xf numFmtId="0" fontId="32" fillId="13" borderId="23" xfId="0" applyFont="1" applyFill="1" applyBorder="1" applyAlignment="1" applyProtection="1">
      <alignment horizontal="center" vertical="center" wrapText="1"/>
      <protection locked="0"/>
    </xf>
    <xf numFmtId="0" fontId="32" fillId="13" borderId="56" xfId="0" applyFont="1" applyFill="1" applyBorder="1" applyAlignment="1" applyProtection="1">
      <alignment horizontal="center" vertical="center" wrapText="1"/>
      <protection locked="0"/>
    </xf>
    <xf numFmtId="0" fontId="22" fillId="13" borderId="23" xfId="0" applyFont="1" applyFill="1" applyBorder="1" applyAlignment="1" applyProtection="1">
      <alignment horizontal="center" vertical="center" wrapText="1"/>
      <protection locked="0"/>
    </xf>
    <xf numFmtId="0" fontId="22" fillId="13" borderId="56" xfId="0" applyFont="1" applyFill="1" applyBorder="1" applyAlignment="1" applyProtection="1">
      <alignment horizontal="center" vertical="center" wrapText="1"/>
      <protection locked="0"/>
    </xf>
    <xf numFmtId="0" fontId="22" fillId="13" borderId="21" xfId="0" applyFont="1" applyFill="1" applyBorder="1" applyAlignment="1" applyProtection="1">
      <alignment horizontal="center" vertical="center" wrapText="1"/>
      <protection locked="0"/>
    </xf>
    <xf numFmtId="0" fontId="22" fillId="9" borderId="23" xfId="0" applyFont="1" applyFill="1" applyBorder="1" applyAlignment="1">
      <alignment horizontal="center" vertical="center" wrapText="1"/>
    </xf>
    <xf numFmtId="0" fontId="22" fillId="9" borderId="56" xfId="0" applyFont="1" applyFill="1" applyBorder="1" applyAlignment="1">
      <alignment horizontal="center" vertical="center" wrapText="1"/>
    </xf>
    <xf numFmtId="0" fontId="22" fillId="9" borderId="21" xfId="0" applyFont="1" applyFill="1" applyBorder="1" applyAlignment="1">
      <alignment horizontal="center" vertical="center" wrapText="1"/>
    </xf>
    <xf numFmtId="9" fontId="1" fillId="9" borderId="22" xfId="5" applyFont="1" applyFill="1" applyBorder="1" applyAlignment="1" applyProtection="1">
      <alignment horizontal="center" vertical="center" wrapText="1"/>
    </xf>
    <xf numFmtId="9" fontId="1" fillId="9" borderId="6" xfId="5" applyFont="1" applyFill="1" applyBorder="1" applyAlignment="1" applyProtection="1">
      <alignment horizontal="center" vertical="center" wrapText="1"/>
    </xf>
    <xf numFmtId="9" fontId="1" fillId="9" borderId="24" xfId="5" applyFont="1" applyFill="1" applyBorder="1" applyAlignment="1" applyProtection="1">
      <alignment horizontal="center" vertical="center" wrapText="1"/>
    </xf>
    <xf numFmtId="0" fontId="5" fillId="0" borderId="33" xfId="0" applyFont="1" applyBorder="1" applyAlignment="1">
      <alignment horizontal="left" vertical="center" wrapText="1"/>
    </xf>
    <xf numFmtId="0" fontId="5" fillId="0" borderId="24" xfId="0" applyFont="1" applyBorder="1" applyAlignment="1">
      <alignment horizontal="left" vertical="center" wrapText="1"/>
    </xf>
    <xf numFmtId="0" fontId="5" fillId="8" borderId="51" xfId="0" applyFont="1" applyFill="1" applyBorder="1" applyAlignment="1">
      <alignment horizontal="center" vertical="center" textRotation="90" wrapText="1"/>
    </xf>
    <xf numFmtId="0" fontId="5" fillId="8" borderId="52" xfId="0" applyFont="1" applyFill="1" applyBorder="1" applyAlignment="1">
      <alignment horizontal="center" vertical="center" textRotation="90" wrapText="1"/>
    </xf>
    <xf numFmtId="0" fontId="5" fillId="8" borderId="53" xfId="0" applyFont="1" applyFill="1" applyBorder="1" applyAlignment="1">
      <alignment horizontal="center" vertical="center" textRotation="90" wrapText="1"/>
    </xf>
    <xf numFmtId="0" fontId="2" fillId="13" borderId="51" xfId="0" applyFont="1" applyFill="1" applyBorder="1" applyAlignment="1" applyProtection="1">
      <alignment horizontal="center" vertical="center" wrapText="1"/>
      <protection locked="0"/>
    </xf>
    <xf numFmtId="0" fontId="2" fillId="13" borderId="52" xfId="0" applyFont="1" applyFill="1" applyBorder="1" applyAlignment="1" applyProtection="1">
      <alignment horizontal="center" vertical="center" wrapText="1"/>
      <protection locked="0"/>
    </xf>
    <xf numFmtId="0" fontId="1" fillId="9" borderId="22"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24" xfId="0" applyFont="1" applyFill="1" applyBorder="1" applyAlignment="1">
      <alignment horizontal="center" vertical="center" wrapText="1"/>
    </xf>
    <xf numFmtId="0" fontId="1" fillId="9" borderId="31" xfId="0" applyFont="1" applyFill="1" applyBorder="1" applyAlignment="1">
      <alignment horizontal="left" vertical="top" wrapText="1"/>
    </xf>
    <xf numFmtId="0" fontId="1" fillId="9" borderId="32" xfId="0" applyFont="1" applyFill="1" applyBorder="1" applyAlignment="1">
      <alignment horizontal="left" vertical="top" wrapText="1"/>
    </xf>
    <xf numFmtId="0" fontId="22" fillId="5" borderId="23" xfId="0" applyFont="1" applyFill="1" applyBorder="1" applyAlignment="1">
      <alignment horizontal="center" vertical="center" wrapText="1"/>
    </xf>
    <xf numFmtId="0" fontId="22" fillId="5" borderId="56" xfId="0" applyFont="1" applyFill="1" applyBorder="1" applyAlignment="1">
      <alignment horizontal="center" vertical="center" wrapText="1"/>
    </xf>
    <xf numFmtId="0" fontId="22" fillId="4" borderId="56" xfId="0" applyFont="1" applyFill="1" applyBorder="1" applyAlignment="1">
      <alignment horizontal="center" vertical="center" wrapText="1"/>
    </xf>
    <xf numFmtId="0" fontId="7" fillId="4" borderId="51" xfId="0" applyFont="1" applyFill="1" applyBorder="1" applyAlignment="1">
      <alignment horizontal="center" vertical="center" wrapText="1"/>
    </xf>
    <xf numFmtId="0" fontId="7" fillId="4" borderId="73"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2" fillId="13" borderId="52" xfId="0" applyFont="1" applyFill="1" applyBorder="1" applyAlignment="1" applyProtection="1">
      <alignment horizontal="center" vertical="center" wrapText="1"/>
      <protection locked="0"/>
    </xf>
    <xf numFmtId="0" fontId="22" fillId="13" borderId="53" xfId="0" applyFont="1" applyFill="1" applyBorder="1" applyAlignment="1" applyProtection="1">
      <alignment horizontal="center" vertical="center" wrapText="1"/>
      <protection locked="0"/>
    </xf>
    <xf numFmtId="0" fontId="1" fillId="4" borderId="18" xfId="0" applyFont="1" applyFill="1" applyBorder="1" applyAlignment="1">
      <alignment horizontal="center" vertical="center" wrapText="1"/>
    </xf>
    <xf numFmtId="0" fontId="1" fillId="4" borderId="56"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5" fillId="11" borderId="51" xfId="0" applyFont="1" applyFill="1" applyBorder="1" applyAlignment="1">
      <alignment horizontal="center" vertical="center" textRotation="90" wrapText="1"/>
    </xf>
    <xf numFmtId="0" fontId="5" fillId="11" borderId="52" xfId="0" applyFont="1" applyFill="1" applyBorder="1" applyAlignment="1">
      <alignment horizontal="center" vertical="center" textRotation="90" wrapText="1"/>
    </xf>
    <xf numFmtId="0" fontId="5" fillId="11" borderId="53" xfId="0" applyFont="1" applyFill="1" applyBorder="1" applyAlignment="1">
      <alignment horizontal="center" vertical="center" textRotation="90" wrapText="1"/>
    </xf>
    <xf numFmtId="0" fontId="22" fillId="13" borderId="51" xfId="0" applyFont="1" applyFill="1" applyBorder="1" applyAlignment="1" applyProtection="1">
      <alignment horizontal="center" vertical="center" wrapText="1"/>
      <protection locked="0"/>
    </xf>
    <xf numFmtId="0" fontId="5" fillId="10" borderId="51" xfId="0" applyFont="1" applyFill="1" applyBorder="1" applyAlignment="1">
      <alignment horizontal="center" vertical="center" textRotation="90" wrapText="1"/>
    </xf>
    <xf numFmtId="0" fontId="5" fillId="10" borderId="52" xfId="0" applyFont="1" applyFill="1" applyBorder="1" applyAlignment="1">
      <alignment horizontal="center" vertical="center" textRotation="90" wrapText="1"/>
    </xf>
    <xf numFmtId="0" fontId="5" fillId="10" borderId="53" xfId="0" applyFont="1" applyFill="1" applyBorder="1" applyAlignment="1">
      <alignment horizontal="center" vertical="center" textRotation="90" wrapText="1"/>
    </xf>
    <xf numFmtId="0" fontId="5" fillId="6" borderId="51" xfId="0" applyFont="1" applyFill="1" applyBorder="1" applyAlignment="1">
      <alignment horizontal="center" vertical="center" textRotation="90" wrapText="1"/>
    </xf>
    <xf numFmtId="0" fontId="5" fillId="6" borderId="52" xfId="0" applyFont="1" applyFill="1" applyBorder="1" applyAlignment="1">
      <alignment horizontal="center" vertical="center" textRotation="90" wrapText="1"/>
    </xf>
    <xf numFmtId="0" fontId="5" fillId="6" borderId="53" xfId="0" applyFont="1" applyFill="1" applyBorder="1" applyAlignment="1">
      <alignment horizontal="center" vertical="center" textRotation="90" wrapText="1"/>
    </xf>
    <xf numFmtId="0" fontId="1" fillId="12" borderId="31" xfId="0" applyFont="1" applyFill="1" applyBorder="1" applyAlignment="1">
      <alignment horizontal="left" vertical="top" wrapText="1"/>
    </xf>
    <xf numFmtId="0" fontId="1" fillId="12" borderId="32" xfId="0" applyFont="1" applyFill="1" applyBorder="1" applyAlignment="1">
      <alignment horizontal="left" vertical="top" wrapText="1"/>
    </xf>
    <xf numFmtId="0" fontId="22" fillId="5" borderId="21" xfId="0" applyFont="1" applyFill="1" applyBorder="1" applyAlignment="1">
      <alignment horizontal="center" vertical="center" wrapText="1"/>
    </xf>
    <xf numFmtId="0" fontId="1" fillId="5" borderId="31" xfId="0" applyFont="1" applyFill="1" applyBorder="1" applyAlignment="1">
      <alignment horizontal="left" vertical="top" wrapText="1"/>
    </xf>
    <xf numFmtId="0" fontId="1" fillId="5" borderId="32" xfId="0" applyFont="1" applyFill="1" applyBorder="1" applyAlignment="1">
      <alignment horizontal="left" vertical="top" wrapText="1"/>
    </xf>
    <xf numFmtId="0" fontId="1" fillId="4" borderId="2"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6" borderId="6"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1" fillId="4" borderId="28" xfId="0" applyFont="1" applyFill="1" applyBorder="1" applyAlignment="1">
      <alignment horizontal="center" vertical="top" wrapText="1"/>
    </xf>
    <xf numFmtId="0" fontId="1" fillId="4" borderId="32" xfId="0" applyFont="1" applyFill="1" applyBorder="1" applyAlignment="1">
      <alignment horizontal="center" vertical="top" wrapText="1"/>
    </xf>
    <xf numFmtId="0" fontId="1" fillId="4" borderId="29" xfId="0" applyFont="1" applyFill="1" applyBorder="1" applyAlignment="1">
      <alignment horizontal="center" vertical="top" wrapText="1"/>
    </xf>
    <xf numFmtId="0" fontId="1" fillId="16" borderId="22" xfId="0" applyFont="1" applyFill="1" applyBorder="1" applyAlignment="1">
      <alignment horizontal="center" vertical="center" wrapText="1"/>
    </xf>
    <xf numFmtId="0" fontId="22" fillId="12" borderId="23" xfId="0" applyFont="1" applyFill="1" applyBorder="1" applyAlignment="1">
      <alignment horizontal="center" vertical="center" wrapText="1"/>
    </xf>
    <xf numFmtId="0" fontId="22" fillId="12" borderId="56" xfId="0" applyFont="1" applyFill="1" applyBorder="1" applyAlignment="1">
      <alignment horizontal="center" vertical="center" wrapText="1"/>
    </xf>
    <xf numFmtId="0" fontId="1" fillId="5" borderId="33" xfId="0" applyFont="1" applyFill="1" applyBorder="1" applyAlignment="1">
      <alignment horizontal="left" vertical="top" wrapText="1"/>
    </xf>
    <xf numFmtId="0" fontId="22" fillId="12" borderId="21" xfId="0" applyFont="1" applyFill="1" applyBorder="1" applyAlignment="1">
      <alignment horizontal="center" vertical="center" wrapText="1"/>
    </xf>
    <xf numFmtId="0" fontId="1" fillId="16" borderId="50" xfId="0" applyFont="1" applyFill="1" applyBorder="1" applyAlignment="1">
      <alignment horizontal="center" vertical="center" wrapText="1"/>
    </xf>
    <xf numFmtId="0" fontId="1" fillId="16" borderId="5" xfId="0" applyFont="1" applyFill="1" applyBorder="1" applyAlignment="1">
      <alignment horizontal="center" vertical="center" wrapText="1"/>
    </xf>
    <xf numFmtId="0" fontId="1" fillId="9" borderId="33" xfId="0" applyFont="1" applyFill="1" applyBorder="1" applyAlignment="1">
      <alignment horizontal="left" vertical="top" wrapText="1"/>
    </xf>
    <xf numFmtId="0" fontId="1" fillId="12" borderId="31" xfId="0" applyFont="1" applyFill="1" applyBorder="1" applyAlignment="1">
      <alignment horizontal="center" vertical="top" wrapText="1"/>
    </xf>
    <xf numFmtId="0" fontId="1" fillId="12" borderId="32" xfId="0" applyFont="1" applyFill="1" applyBorder="1" applyAlignment="1">
      <alignment horizontal="center" vertical="top" wrapText="1"/>
    </xf>
    <xf numFmtId="0" fontId="1" fillId="12" borderId="33" xfId="0" applyFont="1" applyFill="1" applyBorder="1" applyAlignment="1">
      <alignment horizontal="center" vertical="top" wrapText="1"/>
    </xf>
    <xf numFmtId="0" fontId="1" fillId="12" borderId="38" xfId="0" applyFont="1" applyFill="1" applyBorder="1" applyAlignment="1">
      <alignment horizontal="left" vertical="top" wrapText="1"/>
    </xf>
    <xf numFmtId="0" fontId="1" fillId="12" borderId="15" xfId="0" applyFont="1" applyFill="1" applyBorder="1" applyAlignment="1">
      <alignment horizontal="left" vertical="top" wrapText="1"/>
    </xf>
    <xf numFmtId="0" fontId="1" fillId="12" borderId="4" xfId="0" applyFont="1" applyFill="1" applyBorder="1" applyAlignment="1">
      <alignment horizontal="left" vertical="top" wrapText="1"/>
    </xf>
    <xf numFmtId="0" fontId="1" fillId="12" borderId="2" xfId="0" applyFont="1" applyFill="1" applyBorder="1" applyAlignment="1">
      <alignment horizontal="left" vertical="top" wrapText="1"/>
    </xf>
    <xf numFmtId="0" fontId="1" fillId="12" borderId="7" xfId="0" applyFont="1" applyFill="1" applyBorder="1" applyAlignment="1">
      <alignment horizontal="left" vertical="top" wrapText="1"/>
    </xf>
    <xf numFmtId="0" fontId="1" fillId="12" borderId="8" xfId="0" applyFont="1" applyFill="1" applyBorder="1" applyAlignment="1">
      <alignment horizontal="left" vertical="top" wrapText="1"/>
    </xf>
    <xf numFmtId="0" fontId="1" fillId="12" borderId="49" xfId="0" applyFont="1" applyFill="1" applyBorder="1" applyAlignment="1">
      <alignment horizontal="left" vertical="top" wrapText="1"/>
    </xf>
    <xf numFmtId="0" fontId="1" fillId="12" borderId="24" xfId="0" applyFont="1" applyFill="1" applyBorder="1" applyAlignment="1">
      <alignment horizontal="left" vertical="top" wrapText="1"/>
    </xf>
    <xf numFmtId="9" fontId="1" fillId="9" borderId="2" xfId="5" applyFont="1" applyFill="1" applyBorder="1" applyAlignment="1" applyProtection="1">
      <alignment horizontal="center" vertical="center" wrapText="1"/>
    </xf>
    <xf numFmtId="9" fontId="1" fillId="9" borderId="3" xfId="5" applyFont="1" applyFill="1" applyBorder="1" applyAlignment="1" applyProtection="1">
      <alignment horizontal="center" vertical="center" wrapText="1"/>
    </xf>
    <xf numFmtId="0" fontId="1" fillId="4" borderId="31" xfId="0" applyFont="1" applyFill="1" applyBorder="1" applyAlignment="1">
      <alignment horizontal="center" vertical="top" wrapText="1"/>
    </xf>
    <xf numFmtId="0" fontId="22" fillId="4" borderId="23"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1" fillId="16" borderId="2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1" fillId="4" borderId="32" xfId="0" applyFont="1" applyFill="1" applyBorder="1" applyAlignment="1">
      <alignment horizontal="left" vertical="top" wrapText="1"/>
    </xf>
    <xf numFmtId="0" fontId="1" fillId="4" borderId="29" xfId="0" applyFont="1" applyFill="1" applyBorder="1" applyAlignment="1">
      <alignment horizontal="left" vertical="top" wrapText="1"/>
    </xf>
    <xf numFmtId="0" fontId="1" fillId="16" borderId="1" xfId="0" applyFont="1" applyFill="1" applyBorder="1" applyAlignment="1">
      <alignment horizontal="center" vertical="center" wrapText="1"/>
    </xf>
    <xf numFmtId="0" fontId="1" fillId="4" borderId="76" xfId="0" applyFont="1" applyFill="1" applyBorder="1" applyAlignment="1">
      <alignment horizontal="center" vertical="center" wrapText="1"/>
    </xf>
    <xf numFmtId="0" fontId="1" fillId="4" borderId="6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22" xfId="0" applyFont="1" applyFill="1" applyBorder="1" applyAlignment="1">
      <alignment horizontal="center" vertical="center" wrapText="1"/>
    </xf>
    <xf numFmtId="9" fontId="1" fillId="9" borderId="1" xfId="5" applyFont="1" applyFill="1" applyBorder="1" applyAlignment="1" applyProtection="1">
      <alignment horizontal="center" vertical="center" wrapText="1"/>
    </xf>
    <xf numFmtId="0" fontId="2" fillId="0" borderId="57" xfId="0" applyFont="1" applyBorder="1" applyAlignment="1">
      <alignment horizontal="left"/>
    </xf>
    <xf numFmtId="0" fontId="2" fillId="0" borderId="8" xfId="0" applyFont="1" applyBorder="1" applyAlignment="1">
      <alignment horizontal="left"/>
    </xf>
    <xf numFmtId="0" fontId="2" fillId="0" borderId="17" xfId="0" applyFont="1" applyBorder="1" applyAlignment="1">
      <alignment horizontal="left"/>
    </xf>
    <xf numFmtId="0" fontId="2" fillId="0" borderId="1" xfId="0" applyFont="1" applyBorder="1" applyAlignment="1">
      <alignment horizontal="left"/>
    </xf>
    <xf numFmtId="0" fontId="23" fillId="18" borderId="19" xfId="0" applyFont="1" applyFill="1" applyBorder="1" applyAlignment="1">
      <alignment horizontal="left" vertical="center" wrapText="1"/>
    </xf>
    <xf numFmtId="0" fontId="23" fillId="18" borderId="20" xfId="0" applyFont="1" applyFill="1" applyBorder="1" applyAlignment="1">
      <alignment horizontal="left" vertical="center" wrapText="1"/>
    </xf>
    <xf numFmtId="0" fontId="23" fillId="18" borderId="69" xfId="0" applyFont="1" applyFill="1" applyBorder="1" applyAlignment="1">
      <alignment horizontal="left" vertical="center"/>
    </xf>
    <xf numFmtId="0" fontId="23" fillId="18" borderId="39" xfId="0" applyFont="1" applyFill="1" applyBorder="1" applyAlignment="1">
      <alignment horizontal="left" vertical="center"/>
    </xf>
    <xf numFmtId="0" fontId="1" fillId="4" borderId="1" xfId="0" applyFont="1" applyFill="1" applyBorder="1" applyAlignment="1">
      <alignment horizontal="center" vertical="center" wrapText="1"/>
    </xf>
    <xf numFmtId="0" fontId="1" fillId="12" borderId="22" xfId="0" applyFont="1" applyFill="1" applyBorder="1" applyAlignment="1">
      <alignment horizontal="center" vertical="center" wrapText="1"/>
    </xf>
    <xf numFmtId="0" fontId="1" fillId="12" borderId="6" xfId="0" applyFont="1" applyFill="1" applyBorder="1" applyAlignment="1">
      <alignment horizontal="center" vertical="center" wrapText="1"/>
    </xf>
    <xf numFmtId="9" fontId="1" fillId="4" borderId="7" xfId="5" applyFont="1" applyFill="1" applyBorder="1" applyAlignment="1" applyProtection="1">
      <alignment horizontal="center" vertical="center" wrapText="1"/>
    </xf>
    <xf numFmtId="9" fontId="1" fillId="4" borderId="62" xfId="5" applyFont="1" applyFill="1" applyBorder="1" applyAlignment="1" applyProtection="1">
      <alignment horizontal="center" vertical="center" wrapText="1"/>
    </xf>
    <xf numFmtId="9" fontId="1" fillId="4" borderId="8" xfId="5" applyFont="1" applyFill="1" applyBorder="1" applyAlignment="1" applyProtection="1">
      <alignment horizontal="center" vertical="center" wrapText="1"/>
    </xf>
    <xf numFmtId="0" fontId="1" fillId="4" borderId="7"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8" xfId="0" applyFont="1" applyFill="1" applyBorder="1" applyAlignment="1">
      <alignment horizontal="left" vertical="top" wrapText="1"/>
    </xf>
    <xf numFmtId="0" fontId="41" fillId="0" borderId="0" xfId="0" applyFont="1" applyAlignment="1">
      <alignment horizontal="left"/>
    </xf>
    <xf numFmtId="0" fontId="2" fillId="0" borderId="59" xfId="0" applyFont="1" applyBorder="1" applyAlignment="1">
      <alignment horizontal="center" vertical="center" wrapText="1"/>
    </xf>
    <xf numFmtId="0" fontId="5" fillId="0" borderId="45" xfId="0" applyFont="1" applyBorder="1" applyAlignment="1">
      <alignment horizontal="center"/>
    </xf>
    <xf numFmtId="0" fontId="5" fillId="0" borderId="43" xfId="0" applyFont="1" applyBorder="1" applyAlignment="1">
      <alignment horizontal="center"/>
    </xf>
    <xf numFmtId="0" fontId="5" fillId="0" borderId="40" xfId="0" applyFont="1" applyBorder="1" applyAlignment="1">
      <alignment horizontal="center"/>
    </xf>
    <xf numFmtId="0" fontId="5" fillId="0" borderId="45" xfId="0" applyFont="1" applyBorder="1" applyAlignment="1">
      <alignment horizontal="center" wrapText="1"/>
    </xf>
    <xf numFmtId="0" fontId="5" fillId="0" borderId="43" xfId="0" applyFont="1" applyBorder="1" applyAlignment="1">
      <alignment horizontal="center" wrapText="1"/>
    </xf>
    <xf numFmtId="0" fontId="5" fillId="0" borderId="40" xfId="0" applyFont="1" applyBorder="1" applyAlignment="1">
      <alignment horizontal="center" wrapText="1"/>
    </xf>
    <xf numFmtId="0" fontId="5" fillId="0" borderId="43" xfId="0" applyFont="1" applyBorder="1" applyAlignment="1">
      <alignment horizontal="center" vertical="center" wrapText="1"/>
    </xf>
    <xf numFmtId="0" fontId="5" fillId="0" borderId="40" xfId="0" applyFont="1" applyBorder="1" applyAlignment="1">
      <alignment horizontal="center" vertical="center" wrapText="1"/>
    </xf>
    <xf numFmtId="0" fontId="5" fillId="8" borderId="45" xfId="0" applyFont="1" applyFill="1" applyBorder="1" applyAlignment="1">
      <alignment horizontal="center" vertical="center" wrapText="1"/>
    </xf>
    <xf numFmtId="0" fontId="5" fillId="8" borderId="43" xfId="0" applyFont="1" applyFill="1" applyBorder="1" applyAlignment="1">
      <alignment horizontal="center" vertical="center" wrapText="1"/>
    </xf>
    <xf numFmtId="0" fontId="5" fillId="8" borderId="40" xfId="0" applyFont="1" applyFill="1" applyBorder="1" applyAlignment="1">
      <alignment horizontal="center" vertical="center" wrapText="1"/>
    </xf>
    <xf numFmtId="0" fontId="5" fillId="10" borderId="45" xfId="0" applyFont="1" applyFill="1" applyBorder="1" applyAlignment="1">
      <alignment horizontal="center"/>
    </xf>
    <xf numFmtId="0" fontId="5" fillId="10" borderId="43" xfId="0" applyFont="1" applyFill="1" applyBorder="1" applyAlignment="1">
      <alignment horizontal="center"/>
    </xf>
    <xf numFmtId="0" fontId="5" fillId="10" borderId="40" xfId="0" applyFont="1" applyFill="1" applyBorder="1" applyAlignment="1">
      <alignment horizontal="center"/>
    </xf>
    <xf numFmtId="0" fontId="5" fillId="20" borderId="45" xfId="0" applyFont="1" applyFill="1" applyBorder="1" applyAlignment="1">
      <alignment horizontal="center"/>
    </xf>
    <xf numFmtId="0" fontId="5" fillId="20" borderId="43" xfId="0" applyFont="1" applyFill="1" applyBorder="1" applyAlignment="1">
      <alignment horizontal="center"/>
    </xf>
    <xf numFmtId="0" fontId="5" fillId="20" borderId="40" xfId="0" applyFont="1" applyFill="1" applyBorder="1" applyAlignment="1">
      <alignment horizontal="center"/>
    </xf>
    <xf numFmtId="0" fontId="5" fillId="6" borderId="45" xfId="0" applyFont="1" applyFill="1" applyBorder="1" applyAlignment="1">
      <alignment horizontal="center"/>
    </xf>
    <xf numFmtId="0" fontId="5" fillId="6" borderId="40" xfId="0" applyFont="1" applyFill="1" applyBorder="1" applyAlignment="1">
      <alignment horizontal="center"/>
    </xf>
    <xf numFmtId="0" fontId="1" fillId="13" borderId="0" xfId="0" applyFont="1" applyFill="1"/>
  </cellXfs>
  <cellStyles count="7">
    <cellStyle name="Currency 2" xfId="1" xr:uid="{00000000-0005-0000-0000-000000000000}"/>
    <cellStyle name="Good" xfId="4" builtinId="26"/>
    <cellStyle name="Hyperlink" xfId="6" builtinId="8"/>
    <cellStyle name="Normal" xfId="0" builtinId="0"/>
    <cellStyle name="Normal 2" xfId="2" xr:uid="{00000000-0005-0000-0000-000004000000}"/>
    <cellStyle name="Normal 5" xfId="3" xr:uid="{00000000-0005-0000-0000-000005000000}"/>
    <cellStyle name="Percent" xfId="5" builtinId="5"/>
  </cellStyles>
  <dxfs count="25">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7D"/>
      <color rgb="FFB8E08C"/>
      <color rgb="FFFFFF99"/>
      <color rgb="FF0059A3"/>
      <color rgb="FF0000FF"/>
      <color rgb="FFF1F17B"/>
      <color rgb="FFCAE8AA"/>
      <color rgb="FFDDD9C4"/>
      <color rgb="FFB0BB1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0" i="0" cap="all" baseline="0">
                <a:effectLst/>
              </a:rPr>
              <a:t>Percentage of farm habitat area versus non-habitat area </a:t>
            </a:r>
            <a:endParaRPr lang="en-GB" sz="10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451919004981784"/>
          <c:y val="0.21128784723076494"/>
          <c:w val="0.33279065836777977"/>
          <c:h val="0.6790269775917754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215-4C37-9147-C54F070F0C6A}"/>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F215-4C37-9147-C54F070F0C6A}"/>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 Habitat Score'!$C$88:$G$89</c:f>
              <c:strCache>
                <c:ptCount val="2"/>
                <c:pt idx="0">
                  <c:v>Total hectares of non-habitat area</c:v>
                </c:pt>
                <c:pt idx="1">
                  <c:v>Total hectares of habitat area</c:v>
                </c:pt>
              </c:strCache>
            </c:strRef>
          </c:cat>
          <c:val>
            <c:numRef>
              <c:f>'% Habitat Score'!$H$88:$H$89</c:f>
              <c:numCache>
                <c:formatCode>0.00</c:formatCode>
                <c:ptCount val="2"/>
                <c:pt idx="0">
                  <c:v>0</c:v>
                </c:pt>
                <c:pt idx="1">
                  <c:v>0</c:v>
                </c:pt>
              </c:numCache>
            </c:numRef>
          </c:val>
          <c:extLst>
            <c:ext xmlns:c16="http://schemas.microsoft.com/office/drawing/2014/chart" uri="{C3380CC4-5D6E-409C-BE32-E72D297353CC}">
              <c16:uniqueId val="{00000000-8325-4328-BF24-01D9802E268B}"/>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8572268050733596"/>
          <c:y val="0.25883616847596619"/>
          <c:w val="0.21104200453917707"/>
          <c:h val="0.740743128769452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AGRICULTURAL LAND VERSES LINEAR AND LAND BASED HABITATS ON FARM</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Results!$M$18:$P$18</c:f>
              <c:strCache>
                <c:ptCount val="4"/>
                <c:pt idx="0">
                  <c:v>Total area of grassland</c:v>
                </c:pt>
                <c:pt idx="1">
                  <c:v>Total area of arable land</c:v>
                </c:pt>
                <c:pt idx="2">
                  <c:v>Total area of linear habitats on farm</c:v>
                </c:pt>
                <c:pt idx="3">
                  <c:v>Total area of land based habitats on farm</c:v>
                </c:pt>
              </c:strCache>
            </c:strRef>
          </c:cat>
          <c:val>
            <c:numRef>
              <c:f>Results!$M$19:$P$19</c:f>
              <c:numCache>
                <c:formatCode>General</c:formatCode>
                <c:ptCount val="4"/>
                <c:pt idx="0">
                  <c:v>0</c:v>
                </c:pt>
                <c:pt idx="1">
                  <c:v>0</c:v>
                </c:pt>
                <c:pt idx="2" formatCode="0.00">
                  <c:v>0</c:v>
                </c:pt>
                <c:pt idx="3" formatCode="0.00">
                  <c:v>0</c:v>
                </c:pt>
              </c:numCache>
            </c:numRef>
          </c:val>
          <c:extLst>
            <c:ext xmlns:c16="http://schemas.microsoft.com/office/drawing/2014/chart" uri="{C3380CC4-5D6E-409C-BE32-E72D297353CC}">
              <c16:uniqueId val="{00000000-4ABC-4F74-B6B8-3976C6B562ED}"/>
            </c:ext>
          </c:extLst>
        </c:ser>
        <c:dLbls>
          <c:showLegendKey val="0"/>
          <c:showVal val="0"/>
          <c:showCatName val="0"/>
          <c:showSerName val="0"/>
          <c:showPercent val="0"/>
          <c:showBubbleSize val="0"/>
        </c:dLbls>
        <c:gapWidth val="219"/>
        <c:overlap val="-27"/>
        <c:axId val="826790168"/>
        <c:axId val="826793776"/>
      </c:barChart>
      <c:catAx>
        <c:axId val="826790168"/>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1"/>
                  <a:t>Area of land</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6793776"/>
        <c:crosses val="autoZero"/>
        <c:auto val="1"/>
        <c:lblAlgn val="ctr"/>
        <c:lblOffset val="100"/>
        <c:noMultiLvlLbl val="0"/>
      </c:catAx>
      <c:valAx>
        <c:axId val="826793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1"/>
                  <a:t>Hectares</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67901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BioTool Assessment Score</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Results!$J$23:$J$24</c:f>
              <c:strCache>
                <c:ptCount val="2"/>
                <c:pt idx="0">
                  <c:v>% habitat
Benchmark 1</c:v>
                </c:pt>
                <c:pt idx="1">
                  <c:v>Total biodiversity assessment score
Benchmark 2</c:v>
                </c:pt>
              </c:strCache>
            </c:strRef>
          </c:cat>
          <c:val>
            <c:numRef>
              <c:f>Results!$K$23:$K$24</c:f>
              <c:numCache>
                <c:formatCode>0.00</c:formatCode>
                <c:ptCount val="2"/>
                <c:pt idx="0">
                  <c:v>0</c:v>
                </c:pt>
                <c:pt idx="1">
                  <c:v>0</c:v>
                </c:pt>
              </c:numCache>
            </c:numRef>
          </c:val>
          <c:extLst>
            <c:ext xmlns:c16="http://schemas.microsoft.com/office/drawing/2014/chart" uri="{C3380CC4-5D6E-409C-BE32-E72D297353CC}">
              <c16:uniqueId val="{00000000-119F-484C-83AB-AFE5533BFAD4}"/>
            </c:ext>
          </c:extLst>
        </c:ser>
        <c:dLbls>
          <c:showLegendKey val="0"/>
          <c:showVal val="0"/>
          <c:showCatName val="0"/>
          <c:showSerName val="0"/>
          <c:showPercent val="0"/>
          <c:showBubbleSize val="0"/>
        </c:dLbls>
        <c:gapWidth val="219"/>
        <c:overlap val="-27"/>
        <c:axId val="841339208"/>
        <c:axId val="841338552"/>
      </c:barChart>
      <c:catAx>
        <c:axId val="841339208"/>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1"/>
                  <a:t>Assessment Score</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41338552"/>
        <c:crosses val="autoZero"/>
        <c:auto val="1"/>
        <c:lblAlgn val="ctr"/>
        <c:lblOffset val="100"/>
        <c:noMultiLvlLbl val="0"/>
      </c:catAx>
      <c:valAx>
        <c:axId val="841338552"/>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Percentage</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413392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b="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Biodiversity Assessment Summary</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7748644532030544"/>
          <c:y val="0.10869599779539578"/>
          <c:w val="0.80776232953508964"/>
          <c:h val="0.72811198001981059"/>
        </c:manualLayout>
      </c:layout>
      <c:barChart>
        <c:barDir val="bar"/>
        <c:grouping val="clustered"/>
        <c:varyColors val="0"/>
        <c:ser>
          <c:idx val="0"/>
          <c:order val="0"/>
          <c:spPr>
            <a:solidFill>
              <a:schemeClr val="accent1"/>
            </a:solidFill>
            <a:ln>
              <a:noFill/>
            </a:ln>
            <a:effectLst/>
          </c:spPr>
          <c:invertIfNegative val="0"/>
          <c:cat>
            <c:strRef>
              <c:f>Results!$B$18:$B$21</c:f>
              <c:strCache>
                <c:ptCount val="4"/>
                <c:pt idx="0">
                  <c:v>Land use biodiversity assessment score</c:v>
                </c:pt>
                <c:pt idx="1">
                  <c:v>General biodiversity assessment score</c:v>
                </c:pt>
                <c:pt idx="2">
                  <c:v>Linear habitat biodiversity assessment score</c:v>
                </c:pt>
                <c:pt idx="3">
                  <c:v>Area habitat biodiversity assessment score</c:v>
                </c:pt>
              </c:strCache>
            </c:strRef>
          </c:cat>
          <c:val>
            <c:numRef>
              <c:f>Results!$C$18:$C$21</c:f>
              <c:numCache>
                <c:formatCode>General</c:formatCode>
                <c:ptCount val="4"/>
              </c:numCache>
            </c:numRef>
          </c:val>
          <c:extLst>
            <c:ext xmlns:c16="http://schemas.microsoft.com/office/drawing/2014/chart" uri="{C3380CC4-5D6E-409C-BE32-E72D297353CC}">
              <c16:uniqueId val="{00000000-CF2A-47C5-9AF4-F1FC86F675D0}"/>
            </c:ext>
          </c:extLst>
        </c:ser>
        <c:ser>
          <c:idx val="1"/>
          <c:order val="1"/>
          <c:spPr>
            <a:solidFill>
              <a:schemeClr val="accent2"/>
            </a:solidFill>
            <a:ln>
              <a:noFill/>
            </a:ln>
            <a:effectLst/>
          </c:spPr>
          <c:invertIfNegative val="0"/>
          <c:dPt>
            <c:idx val="0"/>
            <c:invertIfNegative val="0"/>
            <c:bubble3D val="0"/>
            <c:spPr>
              <a:solidFill>
                <a:schemeClr val="bg2">
                  <a:lumMod val="75000"/>
                </a:schemeClr>
              </a:solidFill>
              <a:ln>
                <a:noFill/>
              </a:ln>
              <a:effectLst/>
            </c:spPr>
            <c:extLst>
              <c:ext xmlns:c16="http://schemas.microsoft.com/office/drawing/2014/chart" uri="{C3380CC4-5D6E-409C-BE32-E72D297353CC}">
                <c16:uniqueId val="{00000005-CF2A-47C5-9AF4-F1FC86F675D0}"/>
              </c:ext>
            </c:extLst>
          </c:dPt>
          <c:dPt>
            <c:idx val="1"/>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4-CF2A-47C5-9AF4-F1FC86F675D0}"/>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3-CF2A-47C5-9AF4-F1FC86F675D0}"/>
              </c:ext>
            </c:extLst>
          </c:dPt>
          <c:dPt>
            <c:idx val="3"/>
            <c:invertIfNegative val="0"/>
            <c:bubble3D val="0"/>
            <c:spPr>
              <a:solidFill>
                <a:srgbClr val="FFFF00"/>
              </a:solidFill>
              <a:ln>
                <a:noFill/>
              </a:ln>
              <a:effectLst/>
            </c:spPr>
            <c:extLst>
              <c:ext xmlns:c16="http://schemas.microsoft.com/office/drawing/2014/chart" uri="{C3380CC4-5D6E-409C-BE32-E72D297353CC}">
                <c16:uniqueId val="{00000002-CF2A-47C5-9AF4-F1FC86F675D0}"/>
              </c:ext>
            </c:extLst>
          </c:dPt>
          <c:cat>
            <c:strRef>
              <c:f>Results!$B$18:$B$21</c:f>
              <c:strCache>
                <c:ptCount val="4"/>
                <c:pt idx="0">
                  <c:v>Land use biodiversity assessment score</c:v>
                </c:pt>
                <c:pt idx="1">
                  <c:v>General biodiversity assessment score</c:v>
                </c:pt>
                <c:pt idx="2">
                  <c:v>Linear habitat biodiversity assessment score</c:v>
                </c:pt>
                <c:pt idx="3">
                  <c:v>Area habitat biodiversity assessment score</c:v>
                </c:pt>
              </c:strCache>
            </c:strRef>
          </c:cat>
          <c:val>
            <c:numRef>
              <c:f>Results!$F$18:$F$21</c:f>
              <c:numCache>
                <c:formatCode>0</c:formatCode>
                <c:ptCount val="4"/>
                <c:pt idx="0">
                  <c:v>0</c:v>
                </c:pt>
                <c:pt idx="1">
                  <c:v>0</c:v>
                </c:pt>
                <c:pt idx="2">
                  <c:v>0</c:v>
                </c:pt>
                <c:pt idx="3">
                  <c:v>0</c:v>
                </c:pt>
              </c:numCache>
            </c:numRef>
          </c:val>
          <c:extLst>
            <c:ext xmlns:c16="http://schemas.microsoft.com/office/drawing/2014/chart" uri="{C3380CC4-5D6E-409C-BE32-E72D297353CC}">
              <c16:uniqueId val="{00000001-CF2A-47C5-9AF4-F1FC86F675D0}"/>
            </c:ext>
          </c:extLst>
        </c:ser>
        <c:dLbls>
          <c:showLegendKey val="0"/>
          <c:showVal val="0"/>
          <c:showCatName val="0"/>
          <c:showSerName val="0"/>
          <c:showPercent val="0"/>
          <c:showBubbleSize val="0"/>
        </c:dLbls>
        <c:gapWidth val="182"/>
        <c:axId val="531480480"/>
        <c:axId val="531481464"/>
      </c:barChart>
      <c:catAx>
        <c:axId val="531480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481464"/>
        <c:crosses val="autoZero"/>
        <c:auto val="1"/>
        <c:lblAlgn val="ctr"/>
        <c:lblOffset val="100"/>
        <c:noMultiLvlLbl val="0"/>
      </c:catAx>
      <c:valAx>
        <c:axId val="531481464"/>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1"/>
                  <a:t>Assessment Score (%)</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480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500"/>
              <a:t>Percentage of farm habitat area versus non-habitat area </a:t>
            </a:r>
          </a:p>
        </c:rich>
      </c:tx>
      <c:overlay val="0"/>
      <c:spPr>
        <a:noFill/>
        <a:ln>
          <a:noFill/>
        </a:ln>
        <a:effectLst/>
      </c:spPr>
      <c:txPr>
        <a:bodyPr rot="0" spcFirstLastPara="1" vertOverflow="ellipsis" vert="horz" wrap="square" anchor="ctr" anchorCtr="1"/>
        <a:lstStyle/>
        <a:p>
          <a:pPr>
            <a:defRPr sz="15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3324012812434368E-2"/>
          <c:y val="0.17982061635570404"/>
          <c:w val="0.38113920394875028"/>
          <c:h val="0.6737598626195117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DD8-4761-8FFC-8E5FF865887D}"/>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2DD8-4761-8FFC-8E5FF865887D}"/>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12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 Habitat Score'!$C$88:$G$89</c:f>
              <c:strCache>
                <c:ptCount val="2"/>
                <c:pt idx="0">
                  <c:v>Total hectares of non-habitat area</c:v>
                </c:pt>
                <c:pt idx="1">
                  <c:v>Total hectares of habitat area</c:v>
                </c:pt>
              </c:strCache>
            </c:strRef>
          </c:cat>
          <c:val>
            <c:numRef>
              <c:f>'% Habitat Score'!$H$88:$H$89</c:f>
              <c:numCache>
                <c:formatCode>0.00</c:formatCode>
                <c:ptCount val="2"/>
                <c:pt idx="0">
                  <c:v>0</c:v>
                </c:pt>
                <c:pt idx="1">
                  <c:v>0</c:v>
                </c:pt>
              </c:numCache>
            </c:numRef>
          </c:val>
          <c:extLst>
            <c:ext xmlns:c16="http://schemas.microsoft.com/office/drawing/2014/chart" uri="{C3380CC4-5D6E-409C-BE32-E72D297353CC}">
              <c16:uniqueId val="{00000004-2DD8-4761-8FFC-8E5FF865887D}"/>
            </c:ext>
          </c:extLst>
        </c:ser>
        <c:dLbls>
          <c:showLegendKey val="0"/>
          <c:showVal val="0"/>
          <c:showCatName val="0"/>
          <c:showSerName val="0"/>
          <c:showPercent val="0"/>
          <c:showBubbleSize val="0"/>
          <c:showLeaderLines val="0"/>
        </c:dLbls>
        <c:firstSliceAng val="0"/>
      </c:pieChart>
      <c:spPr>
        <a:noFill/>
        <a:ln>
          <a:noFill/>
        </a:ln>
        <a:effectLst/>
      </c:spPr>
    </c:plotArea>
    <c:legend>
      <c:legendPos val="r"/>
      <c:legendEntry>
        <c:idx val="0"/>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0.62084751102709512"/>
          <c:y val="0.25182702125684581"/>
          <c:w val="0.36331088531821049"/>
          <c:h val="0.47549661190012071"/>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title pos="t" align="ctr" overlay="0">
      <cx:tx>
        <cx:txData>
          <cx:v>Areas of habitat</cx:v>
        </cx:txData>
      </cx:tx>
      <cx:txPr>
        <a:bodyPr spcFirstLastPara="1" vertOverflow="ellipsis" horzOverflow="overflow" wrap="square" lIns="0" tIns="0" rIns="0" bIns="0" anchor="ctr" anchorCtr="1"/>
        <a:lstStyle/>
        <a:p>
          <a:pPr algn="ctr" rtl="0">
            <a:defRPr sz="1200">
              <a:latin typeface="Arial" panose="020B0604020202020204" pitchFamily="34" charset="0"/>
              <a:ea typeface="Arial" panose="020B0604020202020204" pitchFamily="34" charset="0"/>
              <a:cs typeface="Arial" panose="020B0604020202020204" pitchFamily="34" charset="0"/>
            </a:defRPr>
          </a:pPr>
          <a:r>
            <a:rPr lang="en-US" sz="1200" b="0" i="0" u="none" strike="noStrike" cap="all" baseline="0">
              <a:solidFill>
                <a:sysClr val="windowText" lastClr="000000">
                  <a:lumMod val="65000"/>
                  <a:lumOff val="35000"/>
                </a:sysClr>
              </a:solidFill>
              <a:latin typeface="Arial" panose="020B0604020202020204" pitchFamily="34" charset="0"/>
              <a:cs typeface="Arial" panose="020B0604020202020204" pitchFamily="34" charset="0"/>
            </a:rPr>
            <a:t>Areas of habitat</a:t>
          </a:r>
        </a:p>
      </cx:txPr>
    </cx:title>
    <cx:plotArea>
      <cx:plotAreaRegion>
        <cx:series layoutId="sunburst" uniqueId="{91663B5D-2720-40ED-BEA0-A60841C07448}" formatIdx="0">
          <cx:dataLabels pos="ctr">
            <cx:txPr>
              <a:bodyPr spcFirstLastPara="1" vertOverflow="ellipsis" horzOverflow="overflow" wrap="square" lIns="0" tIns="0" rIns="0" bIns="0" anchor="ctr" anchorCtr="1"/>
              <a:lstStyle/>
              <a:p>
                <a:pPr algn="ctr" rtl="0">
                  <a:defRPr sz="700">
                    <a:latin typeface="Arial" panose="020B0604020202020204" pitchFamily="34" charset="0"/>
                    <a:ea typeface="Arial" panose="020B0604020202020204" pitchFamily="34" charset="0"/>
                    <a:cs typeface="Arial" panose="020B0604020202020204" pitchFamily="34" charset="0"/>
                  </a:defRPr>
                </a:pPr>
                <a:endParaRPr lang="en-US" sz="700" b="0" i="0" u="none" strike="noStrike" baseline="0">
                  <a:solidFill>
                    <a:sysClr val="window" lastClr="FFFFFF"/>
                  </a:solidFill>
                  <a:latin typeface="Arial" panose="020B0604020202020204" pitchFamily="34" charset="0"/>
                  <a:cs typeface="Arial" panose="020B0604020202020204" pitchFamily="34" charset="0"/>
                </a:endParaRPr>
              </a:p>
            </cx:txPr>
            <cx:visibility seriesName="0" categoryName="1" value="0"/>
          </cx:dataLabels>
          <cx:dataId val="0"/>
        </cx:series>
      </cx:plotAreaRegion>
    </cx:plotArea>
    <cx:legend pos="r" align="ctr" overlay="0">
      <cx:txPr>
        <a:bodyPr spcFirstLastPara="1" vertOverflow="ellipsis" horzOverflow="overflow" wrap="square" lIns="0" tIns="0" rIns="0" bIns="0" anchor="ctr" anchorCtr="1"/>
        <a:lstStyle/>
        <a:p>
          <a:pPr algn="ctr" rtl="0">
            <a:defRPr/>
          </a:pPr>
          <a:endParaRPr lang="en-US" sz="900" b="0" i="0" u="none" strike="noStrike" baseline="0">
            <a:solidFill>
              <a:sysClr val="windowText" lastClr="000000">
                <a:lumMod val="65000"/>
                <a:lumOff val="35000"/>
              </a:sysClr>
            </a:solidFill>
            <a:latin typeface="Calibri" panose="020F0502020204030204"/>
          </a:endParaRPr>
        </a:p>
      </cx:txPr>
    </cx:legend>
  </cx:chart>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 Habitat Score'!A1"/><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https://www.cafre.ac.uk/wp-content/uploads/2023/03/Frequently-Asked-Questions_BioTool_10032023.pdf"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hyperlink" Target="https://www.cafre.ac.uk/wp-content/uploads/2023/03/Frequently-Asked-Questions_BioTool_10032023.pdf" TargetMode="External"/><Relationship Id="rId2" Type="http://schemas.openxmlformats.org/officeDocument/2006/relationships/hyperlink" Target="#'Land Use'!D8"/><Relationship Id="rId1" Type="http://schemas.openxmlformats.org/officeDocument/2006/relationships/image" Target="../media/image2.png"/><Relationship Id="rId6" Type="http://schemas.openxmlformats.org/officeDocument/2006/relationships/hyperlink" Target="https://forms.office.com/r/4XU4Cmikyu" TargetMode="External"/><Relationship Id="rId5" Type="http://schemas.openxmlformats.org/officeDocument/2006/relationships/hyperlink" Target="mailto:CAFREFarmBioTool@cafre.ac.uk" TargetMode="External"/><Relationship Id="rId4" Type="http://schemas.openxmlformats.org/officeDocument/2006/relationships/hyperlink" Target="#Home!J19"/></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 Habitat Score'!J19"/><Relationship Id="rId1" Type="http://schemas.openxmlformats.org/officeDocument/2006/relationships/hyperlink" Target="#General!E3"/><Relationship Id="rId5" Type="http://schemas.openxmlformats.org/officeDocument/2006/relationships/hyperlink" Target="https://www.cafre.ac.uk/wp-content/uploads/2023/03/Frequently-Asked-Questions_BioTool_10032023.pdf" TargetMode="External"/><Relationship Id="rId4" Type="http://schemas.openxmlformats.org/officeDocument/2006/relationships/hyperlink" Target="#'% Habitat Score'!J38"/></Relationships>
</file>

<file path=xl/drawings/_rels/drawing4.xml.rels><?xml version="1.0" encoding="UTF-8" standalone="yes"?>
<Relationships xmlns="http://schemas.openxmlformats.org/package/2006/relationships"><Relationship Id="rId3" Type="http://schemas.openxmlformats.org/officeDocument/2006/relationships/hyperlink" Target="#'Land Use'!D8"/><Relationship Id="rId2" Type="http://schemas.openxmlformats.org/officeDocument/2006/relationships/hyperlink" Target="#Linear!E3"/><Relationship Id="rId1" Type="http://schemas.openxmlformats.org/officeDocument/2006/relationships/image" Target="../media/image2.png"/><Relationship Id="rId4" Type="http://schemas.openxmlformats.org/officeDocument/2006/relationships/hyperlink" Target="https://www.cafre.ac.uk/wp-content/uploads/2023/03/Frequently-Asked-Questions_BioTool_10032023.pdf"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https://www.cafre.ac.uk/wp-content/uploads/2023/03/Frequently-Asked-Questions_BioTool_10032023.pdf" TargetMode="External"/><Relationship Id="rId3" Type="http://schemas.openxmlformats.org/officeDocument/2006/relationships/hyperlink" Target="#General!E3"/><Relationship Id="rId7" Type="http://schemas.openxmlformats.org/officeDocument/2006/relationships/hyperlink" Target="#'% Habitat Score'!G51"/><Relationship Id="rId2" Type="http://schemas.openxmlformats.org/officeDocument/2006/relationships/image" Target="../media/image2.png"/><Relationship Id="rId1" Type="http://schemas.openxmlformats.org/officeDocument/2006/relationships/hyperlink" Target="#Area!E3"/><Relationship Id="rId6" Type="http://schemas.openxmlformats.org/officeDocument/2006/relationships/hyperlink" Target="#'% Habitat Score'!G50"/><Relationship Id="rId5" Type="http://schemas.openxmlformats.org/officeDocument/2006/relationships/hyperlink" Target="#'% Habitat Score'!J55"/><Relationship Id="rId4" Type="http://schemas.openxmlformats.org/officeDocument/2006/relationships/hyperlink" Target="#'% Habitat Score'!J59"/></Relationships>
</file>

<file path=xl/drawings/_rels/drawing6.xml.rels><?xml version="1.0" encoding="UTF-8" standalone="yes"?>
<Relationships xmlns="http://schemas.openxmlformats.org/package/2006/relationships"><Relationship Id="rId3" Type="http://schemas.openxmlformats.org/officeDocument/2006/relationships/hyperlink" Target="#Linear!E3"/><Relationship Id="rId2" Type="http://schemas.openxmlformats.org/officeDocument/2006/relationships/image" Target="../media/image2.png"/><Relationship Id="rId1" Type="http://schemas.openxmlformats.org/officeDocument/2006/relationships/hyperlink" Target="#Results!E4"/><Relationship Id="rId4" Type="http://schemas.openxmlformats.org/officeDocument/2006/relationships/hyperlink" Target="https://www.cafre.ac.uk/wp-content/uploads/2023/03/Frequently-Asked-Questions_BioTool_10032023.pdf"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Area!C3"/><Relationship Id="rId2" Type="http://schemas.openxmlformats.org/officeDocument/2006/relationships/image" Target="../media/image2.png"/><Relationship Id="rId1" Type="http://schemas.openxmlformats.org/officeDocument/2006/relationships/hyperlink" Target="#'Diagrams of results'!A1"/><Relationship Id="rId5" Type="http://schemas.openxmlformats.org/officeDocument/2006/relationships/hyperlink" Target="mailto:CAFREFarmBioTool@cafre.ac.uk" TargetMode="External"/><Relationship Id="rId4" Type="http://schemas.openxmlformats.org/officeDocument/2006/relationships/hyperlink" Target="https://forms.office.com/r/4XU4Cmikyu" TargetMode="External"/></Relationships>
</file>

<file path=xl/drawings/_rels/drawing8.xml.rels><?xml version="1.0" encoding="UTF-8" standalone="yes"?>
<Relationships xmlns="http://schemas.openxmlformats.org/package/2006/relationships"><Relationship Id="rId8" Type="http://schemas.openxmlformats.org/officeDocument/2006/relationships/hyperlink" Target="https://forms.office.com/r/4XU4Cmikyu" TargetMode="External"/><Relationship Id="rId3" Type="http://schemas.openxmlformats.org/officeDocument/2006/relationships/chart" Target="../charts/chart4.xml"/><Relationship Id="rId7" Type="http://schemas.openxmlformats.org/officeDocument/2006/relationships/chart" Target="../charts/chart5.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hyperlink" Target="mailto:CAFREFarmBioTool@cafre.ac.uk" TargetMode="External"/><Relationship Id="rId5" Type="http://schemas.openxmlformats.org/officeDocument/2006/relationships/image" Target="../media/image2.png"/><Relationship Id="rId4" Type="http://schemas.microsoft.com/office/2014/relationships/chartEx" Target="../charts/chartEx1.xml"/></Relationships>
</file>

<file path=xl/drawings/_rels/drawing9.xml.rels><?xml version="1.0" encoding="UTF-8" standalone="yes"?>
<Relationships xmlns="http://schemas.openxmlformats.org/package/2006/relationships"><Relationship Id="rId3" Type="http://schemas.openxmlformats.org/officeDocument/2006/relationships/hyperlink" Target="mailto:CAFREFarmBioTool@cafre.ac.uk" TargetMode="External"/><Relationship Id="rId2" Type="http://schemas.openxmlformats.org/officeDocument/2006/relationships/hyperlink" Target="https://forms.office.com/r/4XU4Cmikyu"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370782</xdr:colOff>
      <xdr:row>31</xdr:row>
      <xdr:rowOff>39687</xdr:rowOff>
    </xdr:from>
    <xdr:to>
      <xdr:col>16</xdr:col>
      <xdr:colOff>547687</xdr:colOff>
      <xdr:row>51</xdr:row>
      <xdr:rowOff>459349</xdr:rowOff>
    </xdr:to>
    <xdr:pic>
      <xdr:nvPicPr>
        <xdr:cNvPr id="9" name="Picture 8">
          <a:extLst>
            <a:ext uri="{FF2B5EF4-FFF2-40B4-BE49-F238E27FC236}">
              <a16:creationId xmlns:a16="http://schemas.microsoft.com/office/drawing/2014/main" id="{22CFA745-2DCE-4877-7BC9-76F1C48163A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77157" y="7739062"/>
          <a:ext cx="9344718" cy="4412224"/>
        </a:xfrm>
        <a:prstGeom prst="rect">
          <a:avLst/>
        </a:prstGeom>
      </xdr:spPr>
    </xdr:pic>
    <xdr:clientData/>
  </xdr:twoCellAnchor>
  <xdr:twoCellAnchor editAs="oneCell">
    <xdr:from>
      <xdr:col>12</xdr:col>
      <xdr:colOff>46038</xdr:colOff>
      <xdr:row>1</xdr:row>
      <xdr:rowOff>95250</xdr:rowOff>
    </xdr:from>
    <xdr:to>
      <xdr:col>16</xdr:col>
      <xdr:colOff>841375</xdr:colOff>
      <xdr:row>7</xdr:row>
      <xdr:rowOff>108241</xdr:rowOff>
    </xdr:to>
    <xdr:pic>
      <xdr:nvPicPr>
        <xdr:cNvPr id="3" name="Picture 2" descr="College of Agriculture, Food and Rural Enterprise | CAFRE">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5476" y="254000"/>
          <a:ext cx="3240087" cy="1187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3175</xdr:colOff>
      <xdr:row>1</xdr:row>
      <xdr:rowOff>31750</xdr:rowOff>
    </xdr:from>
    <xdr:to>
      <xdr:col>11</xdr:col>
      <xdr:colOff>571500</xdr:colOff>
      <xdr:row>8</xdr:row>
      <xdr:rowOff>63500</xdr:rowOff>
    </xdr:to>
    <xdr:sp macro="" textlink="">
      <xdr:nvSpPr>
        <xdr:cNvPr id="5" name="Rounded Rectangle 6">
          <a:extLst>
            <a:ext uri="{FF2B5EF4-FFF2-40B4-BE49-F238E27FC236}">
              <a16:creationId xmlns:a16="http://schemas.microsoft.com/office/drawing/2014/main" id="{00000000-0008-0000-0100-000005000000}"/>
            </a:ext>
          </a:extLst>
        </xdr:cNvPr>
        <xdr:cNvSpPr/>
      </xdr:nvSpPr>
      <xdr:spPr>
        <a:xfrm>
          <a:off x="209550" y="190500"/>
          <a:ext cx="6680200" cy="1365250"/>
        </a:xfrm>
        <a:prstGeom prst="roundRect">
          <a:avLst/>
        </a:prstGeom>
        <a:solidFill>
          <a:sysClr val="window" lastClr="FFFFFF"/>
        </a:solidFill>
        <a:ln>
          <a:solidFill>
            <a:schemeClr val="accent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chemeClr val="accent1">
                  <a:lumMod val="75000"/>
                </a:schemeClr>
              </a:solidFill>
              <a:latin typeface="Arial" panose="020B0604020202020204" pitchFamily="34" charset="0"/>
              <a:cs typeface="Arial" panose="020B0604020202020204" pitchFamily="34" charset="0"/>
            </a:rPr>
            <a:t>****To begin...****</a:t>
          </a:r>
        </a:p>
        <a:p>
          <a:pPr algn="ctr"/>
          <a:r>
            <a:rPr lang="en-GB" sz="1050" b="0" baseline="0">
              <a:solidFill>
                <a:schemeClr val="accent1">
                  <a:lumMod val="75000"/>
                </a:schemeClr>
              </a:solidFill>
              <a:latin typeface="Arial" panose="020B0604020202020204" pitchFamily="34" charset="0"/>
              <a:cs typeface="Arial" panose="020B0604020202020204" pitchFamily="34" charset="0"/>
            </a:rPr>
            <a:t>If the button "Enable Content" or "Enable Editing" appears above, please enable both. This will allow the calculators to work correctly.</a:t>
          </a:r>
        </a:p>
        <a:p>
          <a:pPr algn="ctr"/>
          <a:endParaRPr lang="en-GB" sz="1050" b="0" baseline="0">
            <a:solidFill>
              <a:schemeClr val="accent1">
                <a:lumMod val="75000"/>
              </a:schemeClr>
            </a:solidFill>
            <a:latin typeface="Arial" panose="020B0604020202020204" pitchFamily="34" charset="0"/>
            <a:cs typeface="Arial" panose="020B0604020202020204" pitchFamily="34" charset="0"/>
          </a:endParaRPr>
        </a:p>
        <a:p>
          <a:pPr algn="ctr"/>
          <a:r>
            <a:rPr lang="en-GB" sz="1050" b="0" baseline="0">
              <a:solidFill>
                <a:schemeClr val="accent1">
                  <a:lumMod val="75000"/>
                </a:schemeClr>
              </a:solidFill>
              <a:latin typeface="Arial" panose="020B0604020202020204" pitchFamily="34" charset="0"/>
              <a:cs typeface="Arial" panose="020B0604020202020204" pitchFamily="34" charset="0"/>
            </a:rPr>
            <a:t>If the BioTool opens in another web page, please click "D</a:t>
          </a:r>
          <a:r>
            <a:rPr lang="en-GB" sz="1050" b="0">
              <a:solidFill>
                <a:schemeClr val="accent1">
                  <a:lumMod val="75000"/>
                </a:schemeClr>
              </a:solidFill>
              <a:latin typeface="Arial" panose="020B0604020202020204" pitchFamily="34" charset="0"/>
              <a:cs typeface="Arial" panose="020B0604020202020204" pitchFamily="34" charset="0"/>
            </a:rPr>
            <a:t>ownload File" along the top, this will download and save the BioTool to your computer and allow you to complete</a:t>
          </a:r>
          <a:r>
            <a:rPr lang="en-GB" sz="1050" b="0" baseline="0">
              <a:solidFill>
                <a:schemeClr val="accent1">
                  <a:lumMod val="75000"/>
                </a:schemeClr>
              </a:solidFill>
              <a:latin typeface="Arial" panose="020B0604020202020204" pitchFamily="34" charset="0"/>
              <a:cs typeface="Arial" panose="020B0604020202020204" pitchFamily="34" charset="0"/>
            </a:rPr>
            <a:t> the BioTool.</a:t>
          </a:r>
          <a:endParaRPr lang="en-GB" sz="1050" b="0">
            <a:solidFill>
              <a:schemeClr val="accent1">
                <a:lumMod val="75000"/>
              </a:schemeClr>
            </a:solidFill>
            <a:latin typeface="Arial" panose="020B0604020202020204" pitchFamily="34" charset="0"/>
            <a:cs typeface="Arial" panose="020B0604020202020204" pitchFamily="34" charset="0"/>
          </a:endParaRPr>
        </a:p>
      </xdr:txBody>
    </xdr:sp>
    <xdr:clientData/>
  </xdr:twoCellAnchor>
  <xdr:twoCellAnchor>
    <xdr:from>
      <xdr:col>2</xdr:col>
      <xdr:colOff>325436</xdr:colOff>
      <xdr:row>51</xdr:row>
      <xdr:rowOff>752474</xdr:rowOff>
    </xdr:from>
    <xdr:to>
      <xdr:col>16</xdr:col>
      <xdr:colOff>317499</xdr:colOff>
      <xdr:row>52</xdr:row>
      <xdr:rowOff>460375</xdr:rowOff>
    </xdr:to>
    <xdr:sp macro="" textlink="">
      <xdr:nvSpPr>
        <xdr:cNvPr id="7" name="Rounded Rectangle 1">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142999" y="12444412"/>
          <a:ext cx="8548688" cy="581026"/>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bg1"/>
              </a:solidFill>
              <a:latin typeface="Arial" panose="020B0604020202020204" pitchFamily="34" charset="0"/>
              <a:cs typeface="Arial" panose="020B0604020202020204" pitchFamily="34" charset="0"/>
            </a:rPr>
            <a:t>Step 1: Click</a:t>
          </a:r>
          <a:r>
            <a:rPr lang="en-GB" sz="1800" b="1" baseline="0">
              <a:solidFill>
                <a:schemeClr val="bg1"/>
              </a:solidFill>
              <a:latin typeface="Arial" panose="020B0604020202020204" pitchFamily="34" charset="0"/>
              <a:cs typeface="Arial" panose="020B0604020202020204" pitchFamily="34" charset="0"/>
            </a:rPr>
            <a:t> </a:t>
          </a:r>
          <a:r>
            <a:rPr lang="en-GB" sz="1800" b="1" u="sng" baseline="0">
              <a:solidFill>
                <a:schemeClr val="bg1"/>
              </a:solidFill>
              <a:latin typeface="Arial" panose="020B0604020202020204" pitchFamily="34" charset="0"/>
              <a:cs typeface="Arial" panose="020B0604020202020204" pitchFamily="34" charset="0"/>
            </a:rPr>
            <a:t>here</a:t>
          </a:r>
          <a:r>
            <a:rPr lang="en-GB" sz="1800" b="1" u="none" baseline="0">
              <a:solidFill>
                <a:schemeClr val="bg1"/>
              </a:solidFill>
              <a:latin typeface="Arial" panose="020B0604020202020204" pitchFamily="34" charset="0"/>
              <a:cs typeface="Arial" panose="020B0604020202020204" pitchFamily="34" charset="0"/>
            </a:rPr>
            <a:t> to calculate your farms </a:t>
          </a:r>
          <a:r>
            <a:rPr lang="en-GB" sz="1800" b="1">
              <a:solidFill>
                <a:schemeClr val="bg1"/>
              </a:solidFill>
              <a:latin typeface="Arial" panose="020B0604020202020204" pitchFamily="34" charset="0"/>
              <a:cs typeface="Arial" panose="020B0604020202020204" pitchFamily="34" charset="0"/>
            </a:rPr>
            <a:t>% Habitat Score</a:t>
          </a:r>
        </a:p>
      </xdr:txBody>
    </xdr:sp>
    <xdr:clientData/>
  </xdr:twoCellAnchor>
  <xdr:twoCellAnchor>
    <xdr:from>
      <xdr:col>14</xdr:col>
      <xdr:colOff>373061</xdr:colOff>
      <xdr:row>47</xdr:row>
      <xdr:rowOff>7938</xdr:rowOff>
    </xdr:from>
    <xdr:to>
      <xdr:col>16</xdr:col>
      <xdr:colOff>595312</xdr:colOff>
      <xdr:row>51</xdr:row>
      <xdr:rowOff>7939</xdr:rowOff>
    </xdr:to>
    <xdr:sp macro="" textlink="">
      <xdr:nvSpPr>
        <xdr:cNvPr id="10" name="Rectangle: Rounded Corners 9">
          <a:extLst>
            <a:ext uri="{FF2B5EF4-FFF2-40B4-BE49-F238E27FC236}">
              <a16:creationId xmlns:a16="http://schemas.microsoft.com/office/drawing/2014/main" id="{00000000-0008-0000-0100-00000A000000}"/>
            </a:ext>
          </a:extLst>
        </xdr:cNvPr>
        <xdr:cNvSpPr/>
      </xdr:nvSpPr>
      <xdr:spPr>
        <a:xfrm>
          <a:off x="8524874" y="10358438"/>
          <a:ext cx="1444626" cy="134143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Each page contains navigation</a:t>
          </a:r>
          <a:r>
            <a:rPr lang="en-GB" sz="1100" baseline="0">
              <a:solidFill>
                <a:sysClr val="windowText" lastClr="000000"/>
              </a:solidFill>
            </a:rPr>
            <a:t> buttons, please c</a:t>
          </a:r>
          <a:r>
            <a:rPr lang="en-GB" sz="1100">
              <a:solidFill>
                <a:sysClr val="windowText" lastClr="000000"/>
              </a:solidFill>
            </a:rPr>
            <a:t>lick on these to move</a:t>
          </a:r>
          <a:r>
            <a:rPr lang="en-GB" sz="1100" baseline="0">
              <a:solidFill>
                <a:sysClr val="windowText" lastClr="000000"/>
              </a:solidFill>
            </a:rPr>
            <a:t> between pages. </a:t>
          </a:r>
        </a:p>
      </xdr:txBody>
    </xdr:sp>
    <xdr:clientData/>
  </xdr:twoCellAnchor>
  <xdr:twoCellAnchor>
    <xdr:from>
      <xdr:col>14</xdr:col>
      <xdr:colOff>258595</xdr:colOff>
      <xdr:row>50</xdr:row>
      <xdr:rowOff>857251</xdr:rowOff>
    </xdr:from>
    <xdr:to>
      <xdr:col>15</xdr:col>
      <xdr:colOff>150814</xdr:colOff>
      <xdr:row>51</xdr:row>
      <xdr:rowOff>317715</xdr:rowOff>
    </xdr:to>
    <xdr:sp macro="" textlink="">
      <xdr:nvSpPr>
        <xdr:cNvPr id="11" name="Arrow: Left 10">
          <a:extLst>
            <a:ext uri="{FF2B5EF4-FFF2-40B4-BE49-F238E27FC236}">
              <a16:creationId xmlns:a16="http://schemas.microsoft.com/office/drawing/2014/main" id="{00000000-0008-0000-0100-00000B000000}"/>
            </a:ext>
          </a:extLst>
        </xdr:cNvPr>
        <xdr:cNvSpPr/>
      </xdr:nvSpPr>
      <xdr:spPr>
        <a:xfrm>
          <a:off x="8410408" y="11684001"/>
          <a:ext cx="503406" cy="325652"/>
        </a:xfrm>
        <a:prstGeom prst="leftArrow">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595313</xdr:colOff>
      <xdr:row>29</xdr:row>
      <xdr:rowOff>103188</xdr:rowOff>
    </xdr:from>
    <xdr:to>
      <xdr:col>13</xdr:col>
      <xdr:colOff>341313</xdr:colOff>
      <xdr:row>29</xdr:row>
      <xdr:rowOff>515938</xdr:rowOff>
    </xdr:to>
    <xdr:sp macro="" textlink="">
      <xdr:nvSpPr>
        <xdr:cNvPr id="2" name="Rounded Rectangle 3">
          <a:hlinkClick xmlns:r="http://schemas.openxmlformats.org/officeDocument/2006/relationships" r:id="rId4"/>
          <a:extLst>
            <a:ext uri="{FF2B5EF4-FFF2-40B4-BE49-F238E27FC236}">
              <a16:creationId xmlns:a16="http://schemas.microsoft.com/office/drawing/2014/main" id="{B41352A2-FD63-41F3-BD37-857BF680D218}"/>
            </a:ext>
          </a:extLst>
        </xdr:cNvPr>
        <xdr:cNvSpPr/>
      </xdr:nvSpPr>
      <xdr:spPr>
        <a:xfrm>
          <a:off x="2635251" y="6881813"/>
          <a:ext cx="5246687" cy="412750"/>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u="sng">
              <a:solidFill>
                <a:schemeClr val="bg1"/>
              </a:solidFill>
              <a:latin typeface="Arial" panose="020B0604020202020204" pitchFamily="34" charset="0"/>
              <a:cs typeface="Arial" panose="020B0604020202020204" pitchFamily="34" charset="0"/>
            </a:rPr>
            <a:t>Click here</a:t>
          </a:r>
          <a:r>
            <a:rPr lang="en-GB" sz="1400" b="1">
              <a:solidFill>
                <a:schemeClr val="bg1"/>
              </a:solidFill>
              <a:latin typeface="Arial" panose="020B0604020202020204" pitchFamily="34" charset="0"/>
              <a:cs typeface="Arial" panose="020B0604020202020204" pitchFamily="34" charset="0"/>
            </a:rPr>
            <a:t> to access the </a:t>
          </a:r>
          <a:r>
            <a:rPr lang="en-GB" sz="1400" b="1" i="0" u="sng">
              <a:solidFill>
                <a:schemeClr val="bg1"/>
              </a:solidFill>
              <a:latin typeface="Arial" panose="020B0604020202020204" pitchFamily="34" charset="0"/>
              <a:cs typeface="Arial" panose="020B0604020202020204" pitchFamily="34" charset="0"/>
            </a:rPr>
            <a:t>Frequently</a:t>
          </a:r>
          <a:r>
            <a:rPr lang="en-GB" sz="1400" b="1" i="0" u="sng" baseline="0">
              <a:solidFill>
                <a:schemeClr val="bg1"/>
              </a:solidFill>
              <a:latin typeface="Arial" panose="020B0604020202020204" pitchFamily="34" charset="0"/>
              <a:cs typeface="Arial" panose="020B0604020202020204" pitchFamily="34" charset="0"/>
            </a:rPr>
            <a:t> Asked Questions</a:t>
          </a:r>
          <a:endParaRPr lang="en-GB" sz="1400" b="1" i="0" u="sng">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87459</xdr:colOff>
      <xdr:row>0</xdr:row>
      <xdr:rowOff>123826</xdr:rowOff>
    </xdr:from>
    <xdr:to>
      <xdr:col>10</xdr:col>
      <xdr:colOff>459656</xdr:colOff>
      <xdr:row>9</xdr:row>
      <xdr:rowOff>115860</xdr:rowOff>
    </xdr:to>
    <xdr:pic>
      <xdr:nvPicPr>
        <xdr:cNvPr id="2" name="Picture 1" descr="College of Agriculture, Food and Rural Enterprise | CAFRE">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1732" y="123826"/>
          <a:ext cx="4882861" cy="17844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23813</xdr:colOff>
      <xdr:row>90</xdr:row>
      <xdr:rowOff>87312</xdr:rowOff>
    </xdr:from>
    <xdr:to>
      <xdr:col>10</xdr:col>
      <xdr:colOff>1341438</xdr:colOff>
      <xdr:row>93</xdr:row>
      <xdr:rowOff>87312</xdr:rowOff>
    </xdr:to>
    <xdr:sp macro="" textlink="">
      <xdr:nvSpPr>
        <xdr:cNvPr id="4" name="Rounded Rectangle 1">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603251" y="36163250"/>
          <a:ext cx="7294562" cy="508000"/>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bg1"/>
              </a:solidFill>
              <a:latin typeface="Arial" panose="020B0604020202020204" pitchFamily="34" charset="0"/>
              <a:cs typeface="Arial" panose="020B0604020202020204" pitchFamily="34" charset="0"/>
            </a:rPr>
            <a:t>Click </a:t>
          </a:r>
          <a:r>
            <a:rPr lang="en-GB" sz="1200" b="1" u="sng">
              <a:solidFill>
                <a:schemeClr val="bg1"/>
              </a:solidFill>
              <a:latin typeface="Arial" panose="020B0604020202020204" pitchFamily="34" charset="0"/>
              <a:cs typeface="Arial" panose="020B0604020202020204" pitchFamily="34" charset="0"/>
            </a:rPr>
            <a:t>here</a:t>
          </a:r>
          <a:r>
            <a:rPr lang="en-GB" sz="1200" b="1">
              <a:solidFill>
                <a:schemeClr val="bg1"/>
              </a:solidFill>
              <a:latin typeface="Arial" panose="020B0604020202020204" pitchFamily="34" charset="0"/>
              <a:cs typeface="Arial" panose="020B0604020202020204" pitchFamily="34" charset="0"/>
            </a:rPr>
            <a:t> to begin</a:t>
          </a:r>
          <a:r>
            <a:rPr lang="en-GB" sz="1200" b="1" baseline="0">
              <a:solidFill>
                <a:schemeClr val="bg1"/>
              </a:solidFill>
              <a:latin typeface="Arial" panose="020B0604020202020204" pitchFamily="34" charset="0"/>
              <a:cs typeface="Arial" panose="020B0604020202020204" pitchFamily="34" charset="0"/>
            </a:rPr>
            <a:t> the</a:t>
          </a:r>
          <a:r>
            <a:rPr lang="en-GB" sz="1200" b="1">
              <a:solidFill>
                <a:schemeClr val="bg1"/>
              </a:solidFill>
              <a:latin typeface="Arial" panose="020B0604020202020204" pitchFamily="34" charset="0"/>
              <a:cs typeface="Arial" panose="020B0604020202020204" pitchFamily="34" charset="0"/>
            </a:rPr>
            <a:t> questions to determine</a:t>
          </a:r>
          <a:r>
            <a:rPr lang="en-GB" sz="1200" b="1" baseline="0">
              <a:solidFill>
                <a:schemeClr val="bg1"/>
              </a:solidFill>
              <a:latin typeface="Arial" panose="020B0604020202020204" pitchFamily="34" charset="0"/>
              <a:cs typeface="Arial" panose="020B0604020202020204" pitchFamily="34" charset="0"/>
            </a:rPr>
            <a:t> the quality of the habitats found on your farm</a:t>
          </a:r>
          <a:endParaRPr lang="en-GB"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10</xdr:col>
      <xdr:colOff>355024</xdr:colOff>
      <xdr:row>32</xdr:row>
      <xdr:rowOff>7938</xdr:rowOff>
    </xdr:from>
    <xdr:to>
      <xdr:col>11</xdr:col>
      <xdr:colOff>777876</xdr:colOff>
      <xdr:row>33</xdr:row>
      <xdr:rowOff>388936</xdr:rowOff>
    </xdr:to>
    <xdr:sp macro="" textlink="">
      <xdr:nvSpPr>
        <xdr:cNvPr id="3" name="Explosion 1 17">
          <a:extLst>
            <a:ext uri="{FF2B5EF4-FFF2-40B4-BE49-F238E27FC236}">
              <a16:creationId xmlns:a16="http://schemas.microsoft.com/office/drawing/2014/main" id="{856906C8-3C4B-4CF6-9699-197A82472075}"/>
            </a:ext>
          </a:extLst>
        </xdr:cNvPr>
        <xdr:cNvSpPr/>
      </xdr:nvSpPr>
      <xdr:spPr>
        <a:xfrm>
          <a:off x="6911399" y="8270876"/>
          <a:ext cx="2359602" cy="1039810"/>
        </a:xfrm>
        <a:prstGeom prst="roundRect">
          <a:avLst>
            <a:gd name="adj" fmla="val 31961"/>
          </a:avLst>
        </a:prstGeom>
        <a:solidFill>
          <a:srgbClr val="F1F17B"/>
        </a:solidFill>
        <a:ln>
          <a:solidFill>
            <a:srgbClr val="F1F1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u="none">
              <a:solidFill>
                <a:sysClr val="windowText" lastClr="000000"/>
              </a:solidFill>
              <a:latin typeface="Arial" panose="020B0604020202020204" pitchFamily="34" charset="0"/>
              <a:cs typeface="Arial" panose="020B0604020202020204" pitchFamily="34" charset="0"/>
            </a:rPr>
            <a:t>HINTS &amp; TIPS</a:t>
          </a:r>
        </a:p>
        <a:p>
          <a:pPr algn="ctr"/>
          <a:r>
            <a:rPr lang="en-GB" sz="1050">
              <a:solidFill>
                <a:sysClr val="windowText" lastClr="000000"/>
              </a:solidFill>
              <a:latin typeface="Arial" panose="020B0604020202020204" pitchFamily="34" charset="0"/>
              <a:cs typeface="Arial" panose="020B0604020202020204" pitchFamily="34" charset="0"/>
            </a:rPr>
            <a:t>Where a yellow box appears, please enter your own figures.</a:t>
          </a:r>
        </a:p>
      </xdr:txBody>
    </xdr:sp>
    <xdr:clientData/>
  </xdr:twoCellAnchor>
  <xdr:twoCellAnchor>
    <xdr:from>
      <xdr:col>9</xdr:col>
      <xdr:colOff>71438</xdr:colOff>
      <xdr:row>81</xdr:row>
      <xdr:rowOff>182564</xdr:rowOff>
    </xdr:from>
    <xdr:to>
      <xdr:col>12</xdr:col>
      <xdr:colOff>15874</xdr:colOff>
      <xdr:row>89</xdr:row>
      <xdr:rowOff>285752</xdr:rowOff>
    </xdr:to>
    <xdr:graphicFrame macro="">
      <xdr:nvGraphicFramePr>
        <xdr:cNvPr id="11" name="Chart 10">
          <a:extLst>
            <a:ext uri="{FF2B5EF4-FFF2-40B4-BE49-F238E27FC236}">
              <a16:creationId xmlns:a16="http://schemas.microsoft.com/office/drawing/2014/main" id="{182494FE-403D-B558-9653-671AF83FCB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317500</xdr:colOff>
      <xdr:row>18</xdr:row>
      <xdr:rowOff>269875</xdr:rowOff>
    </xdr:from>
    <xdr:to>
      <xdr:col>12</xdr:col>
      <xdr:colOff>23811</xdr:colOff>
      <xdr:row>24</xdr:row>
      <xdr:rowOff>79375</xdr:rowOff>
    </xdr:to>
    <xdr:sp macro="" textlink="">
      <xdr:nvSpPr>
        <xdr:cNvPr id="8" name="Rounded Rectangle 18">
          <a:extLst>
            <a:ext uri="{FF2B5EF4-FFF2-40B4-BE49-F238E27FC236}">
              <a16:creationId xmlns:a16="http://schemas.microsoft.com/office/drawing/2014/main" id="{7FFC2D02-C065-4B3D-93D9-8EB009367BEA}"/>
            </a:ext>
          </a:extLst>
        </xdr:cNvPr>
        <xdr:cNvSpPr/>
      </xdr:nvSpPr>
      <xdr:spPr>
        <a:xfrm>
          <a:off x="6873875" y="4373563"/>
          <a:ext cx="3294061" cy="1682750"/>
        </a:xfrm>
        <a:prstGeom prst="roundRect">
          <a:avLst/>
        </a:prstGeom>
        <a:solidFill>
          <a:srgbClr val="B8E08C"/>
        </a:solidFill>
        <a:ln>
          <a:solidFill>
            <a:srgbClr val="B8E08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1">
              <a:solidFill>
                <a:sysClr val="windowText" lastClr="000000"/>
              </a:solidFill>
              <a:latin typeface="Arial" panose="020B0604020202020204" pitchFamily="34" charset="0"/>
              <a:cs typeface="Arial" panose="020B0604020202020204" pitchFamily="34" charset="0"/>
            </a:rPr>
            <a:t>HINT</a:t>
          </a:r>
        </a:p>
        <a:p>
          <a:pPr algn="ctr"/>
          <a:r>
            <a:rPr lang="en-GB" sz="1000">
              <a:solidFill>
                <a:sysClr val="windowText" lastClr="000000"/>
              </a:solidFill>
              <a:latin typeface="Arial" panose="020B0604020202020204" pitchFamily="34" charset="0"/>
              <a:cs typeface="Arial" panose="020B0604020202020204" pitchFamily="34" charset="0"/>
            </a:rPr>
            <a:t>1. Where a green box appears, click on the green box for</a:t>
          </a:r>
          <a:r>
            <a:rPr lang="en-GB" sz="1000" baseline="0">
              <a:solidFill>
                <a:sysClr val="windowText" lastClr="000000"/>
              </a:solidFill>
              <a:latin typeface="Arial" panose="020B0604020202020204" pitchFamily="34" charset="0"/>
              <a:cs typeface="Arial" panose="020B0604020202020204" pitchFamily="34" charset="0"/>
            </a:rPr>
            <a:t> an arrow to appear.</a:t>
          </a:r>
        </a:p>
        <a:p>
          <a:pPr algn="ctr"/>
          <a:endParaRPr lang="en-GB" sz="1000" baseline="0">
            <a:solidFill>
              <a:sysClr val="windowText" lastClr="000000"/>
            </a:solidFill>
            <a:latin typeface="Arial" panose="020B0604020202020204" pitchFamily="34" charset="0"/>
            <a:cs typeface="Arial" panose="020B0604020202020204" pitchFamily="34" charset="0"/>
          </a:endParaRPr>
        </a:p>
        <a:p>
          <a:pPr algn="ctr"/>
          <a:r>
            <a:rPr lang="en-GB" sz="1000" baseline="0">
              <a:solidFill>
                <a:sysClr val="windowText" lastClr="000000"/>
              </a:solidFill>
              <a:latin typeface="Arial" panose="020B0604020202020204" pitchFamily="34" charset="0"/>
              <a:cs typeface="Arial" panose="020B0604020202020204" pitchFamily="34" charset="0"/>
            </a:rPr>
            <a:t>2. Click on the arrow for a list of answers.</a:t>
          </a:r>
        </a:p>
        <a:p>
          <a:pPr algn="ctr"/>
          <a:endParaRPr lang="en-GB" sz="1000" baseline="0">
            <a:solidFill>
              <a:sysClr val="windowText" lastClr="000000"/>
            </a:solidFill>
            <a:latin typeface="Arial" panose="020B0604020202020204" pitchFamily="34" charset="0"/>
            <a:cs typeface="Arial" panose="020B0604020202020204" pitchFamily="34" charset="0"/>
          </a:endParaRPr>
        </a:p>
        <a:p>
          <a:pPr algn="ctr"/>
          <a:r>
            <a:rPr lang="en-GB" sz="1000" baseline="0">
              <a:solidFill>
                <a:sysClr val="windowText" lastClr="000000"/>
              </a:solidFill>
              <a:latin typeface="Arial" panose="020B0604020202020204" pitchFamily="34" charset="0"/>
              <a:cs typeface="Arial" panose="020B0604020202020204" pitchFamily="34" charset="0"/>
            </a:rPr>
            <a:t>3. Select the most appropriate answer from the list. You will not be able to type into the green boxes.</a:t>
          </a:r>
          <a:endParaRPr lang="en-GB" sz="10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10</xdr:col>
      <xdr:colOff>63500</xdr:colOff>
      <xdr:row>18</xdr:row>
      <xdr:rowOff>224233</xdr:rowOff>
    </xdr:from>
    <xdr:to>
      <xdr:col>10</xdr:col>
      <xdr:colOff>479127</xdr:colOff>
      <xdr:row>19</xdr:row>
      <xdr:rowOff>103187</xdr:rowOff>
    </xdr:to>
    <xdr:sp macro="" textlink="">
      <xdr:nvSpPr>
        <xdr:cNvPr id="9" name="Left Arrow 19">
          <a:extLst>
            <a:ext uri="{FF2B5EF4-FFF2-40B4-BE49-F238E27FC236}">
              <a16:creationId xmlns:a16="http://schemas.microsoft.com/office/drawing/2014/main" id="{F61B4E85-41BB-40ED-AD5A-F3071420978D}"/>
            </a:ext>
          </a:extLst>
        </xdr:cNvPr>
        <xdr:cNvSpPr/>
      </xdr:nvSpPr>
      <xdr:spPr>
        <a:xfrm>
          <a:off x="6619875" y="4327921"/>
          <a:ext cx="415627" cy="204391"/>
        </a:xfrm>
        <a:prstGeom prst="leftArrow">
          <a:avLst/>
        </a:prstGeom>
        <a:solidFill>
          <a:srgbClr val="B8E08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325438</xdr:colOff>
      <xdr:row>24</xdr:row>
      <xdr:rowOff>174624</xdr:rowOff>
    </xdr:from>
    <xdr:to>
      <xdr:col>12</xdr:col>
      <xdr:colOff>39688</xdr:colOff>
      <xdr:row>26</xdr:row>
      <xdr:rowOff>190491</xdr:rowOff>
    </xdr:to>
    <xdr:sp macro="" textlink="">
      <xdr:nvSpPr>
        <xdr:cNvPr id="5" name="Rounded Rectangle 3">
          <a:hlinkClick xmlns:r="http://schemas.openxmlformats.org/officeDocument/2006/relationships" r:id="rId4"/>
          <a:extLst>
            <a:ext uri="{FF2B5EF4-FFF2-40B4-BE49-F238E27FC236}">
              <a16:creationId xmlns:a16="http://schemas.microsoft.com/office/drawing/2014/main" id="{38489FD2-3E1B-4810-8F8E-313C799A827F}"/>
            </a:ext>
          </a:extLst>
        </xdr:cNvPr>
        <xdr:cNvSpPr/>
      </xdr:nvSpPr>
      <xdr:spPr>
        <a:xfrm>
          <a:off x="6881813" y="6151562"/>
          <a:ext cx="3302000" cy="587367"/>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u="sng">
              <a:solidFill>
                <a:schemeClr val="bg1"/>
              </a:solidFill>
              <a:latin typeface="Arial" panose="020B0604020202020204" pitchFamily="34" charset="0"/>
              <a:cs typeface="Arial" panose="020B0604020202020204" pitchFamily="34" charset="0"/>
            </a:rPr>
            <a:t>Click here</a:t>
          </a:r>
          <a:r>
            <a:rPr lang="en-GB" sz="1200" b="1" u="none" baseline="0">
              <a:solidFill>
                <a:schemeClr val="bg1"/>
              </a:solidFill>
              <a:latin typeface="Arial" panose="020B0604020202020204" pitchFamily="34" charset="0"/>
              <a:cs typeface="Arial" panose="020B0604020202020204" pitchFamily="34" charset="0"/>
            </a:rPr>
            <a:t> to return to t</a:t>
          </a:r>
          <a:r>
            <a:rPr lang="en-GB" sz="1200" b="1">
              <a:solidFill>
                <a:schemeClr val="bg1"/>
              </a:solidFill>
              <a:latin typeface="Arial" panose="020B0604020202020204" pitchFamily="34" charset="0"/>
              <a:cs typeface="Arial" panose="020B0604020202020204" pitchFamily="34" charset="0"/>
            </a:rPr>
            <a:t>he home page</a:t>
          </a:r>
        </a:p>
      </xdr:txBody>
    </xdr:sp>
    <xdr:clientData/>
  </xdr:twoCellAnchor>
  <xdr:twoCellAnchor>
    <xdr:from>
      <xdr:col>10</xdr:col>
      <xdr:colOff>317499</xdr:colOff>
      <xdr:row>16</xdr:row>
      <xdr:rowOff>71438</xdr:rowOff>
    </xdr:from>
    <xdr:to>
      <xdr:col>12</xdr:col>
      <xdr:colOff>0</xdr:colOff>
      <xdr:row>18</xdr:row>
      <xdr:rowOff>198439</xdr:rowOff>
    </xdr:to>
    <xdr:sp macro="" textlink="">
      <xdr:nvSpPr>
        <xdr:cNvPr id="6" name="Rectangle: Rounded Corners 5">
          <a:extLst>
            <a:ext uri="{FF2B5EF4-FFF2-40B4-BE49-F238E27FC236}">
              <a16:creationId xmlns:a16="http://schemas.microsoft.com/office/drawing/2014/main" id="{EA4F5099-18F8-42BB-AD97-86399FAFBE3E}"/>
            </a:ext>
          </a:extLst>
        </xdr:cNvPr>
        <xdr:cNvSpPr/>
      </xdr:nvSpPr>
      <xdr:spPr>
        <a:xfrm>
          <a:off x="6873874" y="3627438"/>
          <a:ext cx="3270251" cy="67468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a:solidFill>
                <a:sysClr val="windowText" lastClr="000000"/>
              </a:solidFill>
              <a:latin typeface="Arial" panose="020B0604020202020204" pitchFamily="34" charset="0"/>
              <a:cs typeface="Arial" panose="020B0604020202020204" pitchFamily="34" charset="0"/>
            </a:rPr>
            <a:t>To move to the next answer box, please use the right arrow key on your keyboard or scroll using</a:t>
          </a:r>
          <a:r>
            <a:rPr lang="en-GB" sz="1050" baseline="0">
              <a:solidFill>
                <a:sysClr val="windowText" lastClr="000000"/>
              </a:solidFill>
              <a:latin typeface="Arial" panose="020B0604020202020204" pitchFamily="34" charset="0"/>
              <a:cs typeface="Arial" panose="020B0604020202020204" pitchFamily="34" charset="0"/>
            </a:rPr>
            <a:t> the mouse.</a:t>
          </a:r>
        </a:p>
      </xdr:txBody>
    </xdr:sp>
    <xdr:clientData/>
  </xdr:twoCellAnchor>
  <xdr:twoCellAnchor>
    <xdr:from>
      <xdr:col>2</xdr:col>
      <xdr:colOff>23812</xdr:colOff>
      <xdr:row>93</xdr:row>
      <xdr:rowOff>174624</xdr:rowOff>
    </xdr:from>
    <xdr:to>
      <xdr:col>10</xdr:col>
      <xdr:colOff>1341439</xdr:colOff>
      <xdr:row>105</xdr:row>
      <xdr:rowOff>277811</xdr:rowOff>
    </xdr:to>
    <xdr:sp macro="" textlink="">
      <xdr:nvSpPr>
        <xdr:cNvPr id="7" name="Rounded Rectangle 1">
          <a:hlinkClick xmlns:r="http://schemas.openxmlformats.org/officeDocument/2006/relationships" r:id="rId5"/>
          <a:extLst>
            <a:ext uri="{FF2B5EF4-FFF2-40B4-BE49-F238E27FC236}">
              <a16:creationId xmlns:a16="http://schemas.microsoft.com/office/drawing/2014/main" id="{7D8760FC-F82F-4151-9157-2DE3D0167D65}"/>
            </a:ext>
          </a:extLst>
        </xdr:cNvPr>
        <xdr:cNvSpPr/>
      </xdr:nvSpPr>
      <xdr:spPr>
        <a:xfrm>
          <a:off x="603250" y="37457062"/>
          <a:ext cx="7294564" cy="1817687"/>
        </a:xfrm>
        <a:prstGeom prst="roundRect">
          <a:avLst/>
        </a:prstGeom>
        <a:solidFill>
          <a:schemeClr val="accent1">
            <a:lumMod val="75000"/>
          </a:schemeClr>
        </a:solidFill>
        <a:ln>
          <a:solidFill>
            <a:schemeClr val="accent1">
              <a:lumMod val="75000"/>
            </a:schemeClr>
          </a:solidFill>
        </a:ln>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vert="horz" rtlCol="0" anchor="ctr"/>
        <a:lstStyle/>
        <a:p>
          <a:pPr algn="ctr"/>
          <a:r>
            <a:rPr lang="en-GB" sz="1200">
              <a:solidFill>
                <a:schemeClr val="bg1"/>
              </a:solidFill>
              <a:latin typeface="Arial" panose="020B0604020202020204" pitchFamily="34" charset="0"/>
              <a:cs typeface="Arial" panose="020B0604020202020204" pitchFamily="34" charset="0"/>
            </a:rPr>
            <a:t>If you do not wish</a:t>
          </a:r>
          <a:r>
            <a:rPr lang="en-GB" sz="1200" baseline="0">
              <a:solidFill>
                <a:schemeClr val="bg1"/>
              </a:solidFill>
              <a:latin typeface="Arial" panose="020B0604020202020204" pitchFamily="34" charset="0"/>
              <a:cs typeface="Arial" panose="020B0604020202020204" pitchFamily="34" charset="0"/>
            </a:rPr>
            <a:t> to continue with the questions, please </a:t>
          </a:r>
          <a:r>
            <a:rPr lang="en-GB" sz="1200" u="sng" baseline="0">
              <a:solidFill>
                <a:schemeClr val="bg1"/>
              </a:solidFill>
              <a:latin typeface="Arial" panose="020B0604020202020204" pitchFamily="34" charset="0"/>
              <a:cs typeface="Arial" panose="020B0604020202020204" pitchFamily="34" charset="0"/>
            </a:rPr>
            <a:t>click here</a:t>
          </a:r>
          <a:r>
            <a:rPr lang="en-GB" sz="1200" u="none" baseline="0">
              <a:solidFill>
                <a:schemeClr val="bg1"/>
              </a:solidFill>
              <a:latin typeface="Arial" panose="020B0604020202020204" pitchFamily="34" charset="0"/>
              <a:cs typeface="Arial" panose="020B0604020202020204" pitchFamily="34" charset="0"/>
            </a:rPr>
            <a:t> </a:t>
          </a:r>
          <a:r>
            <a:rPr lang="en-GB" sz="1200" baseline="0">
              <a:solidFill>
                <a:schemeClr val="bg1"/>
              </a:solidFill>
              <a:latin typeface="Arial" panose="020B0604020202020204" pitchFamily="34" charset="0"/>
              <a:cs typeface="Arial" panose="020B0604020202020204" pitchFamily="34" charset="0"/>
            </a:rPr>
            <a:t>to email the completed % Habitat Score to: </a:t>
          </a:r>
          <a:r>
            <a:rPr lang="en-GB" sz="1200" b="1" u="sng">
              <a:solidFill>
                <a:srgbClr val="FFFF7D"/>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CAFREFarmBioTool@cafre.ac.uk</a:t>
          </a:r>
          <a:endParaRPr lang="en-GB" sz="1200" b="1" u="sng">
            <a:solidFill>
              <a:srgbClr val="FFFF7D"/>
            </a:solidFill>
            <a:effectLst/>
            <a:latin typeface="Arial" panose="020B0604020202020204" pitchFamily="34" charset="0"/>
            <a:ea typeface="+mn-ea"/>
            <a:cs typeface="Arial" panose="020B0604020202020204" pitchFamily="34" charset="0"/>
          </a:endParaRPr>
        </a:p>
        <a:p>
          <a:pPr algn="ctr"/>
          <a:endParaRPr lang="en-GB" sz="1200" b="1" u="sng">
            <a:solidFill>
              <a:srgbClr val="FFFF7D"/>
            </a:solidFill>
            <a:effectLst/>
            <a:latin typeface="Arial" panose="020B0604020202020204" pitchFamily="34" charset="0"/>
            <a:ea typeface="+mn-ea"/>
            <a:cs typeface="Arial" panose="020B0604020202020204" pitchFamily="34" charset="0"/>
          </a:endParaRPr>
        </a:p>
        <a:p>
          <a:pPr algn="ctr"/>
          <a:r>
            <a:rPr lang="en-GB" sz="1200">
              <a:solidFill>
                <a:schemeClr val="bg1"/>
              </a:solidFill>
              <a:latin typeface="Arial" panose="020B0604020202020204" pitchFamily="34" charset="0"/>
              <a:cs typeface="Arial" panose="020B0604020202020204" pitchFamily="34" charset="0"/>
            </a:rPr>
            <a:t>By emailing this document to CAFRE staff they will be able to compare and analyse results</a:t>
          </a:r>
          <a:r>
            <a:rPr lang="en-GB" sz="1200" baseline="0">
              <a:solidFill>
                <a:schemeClr val="bg1"/>
              </a:solidFill>
              <a:latin typeface="Arial" panose="020B0604020202020204" pitchFamily="34" charset="0"/>
              <a:cs typeface="Arial" panose="020B0604020202020204" pitchFamily="34" charset="0"/>
            </a:rPr>
            <a:t> from a range of different farms.</a:t>
          </a:r>
        </a:p>
        <a:p>
          <a:pPr algn="ctr"/>
          <a:r>
            <a:rPr lang="en-GB" sz="1200">
              <a:solidFill>
                <a:schemeClr val="bg1"/>
              </a:solidFill>
              <a:latin typeface="Arial" panose="020B0604020202020204" pitchFamily="34" charset="0"/>
              <a:cs typeface="Arial" panose="020B0604020202020204" pitchFamily="34" charset="0"/>
            </a:rPr>
            <a:t>The information that you have provided in this tool </a:t>
          </a:r>
          <a:r>
            <a:rPr lang="en-GB" sz="1200" b="1">
              <a:solidFill>
                <a:schemeClr val="bg1"/>
              </a:solidFill>
              <a:latin typeface="Arial" panose="020B0604020202020204" pitchFamily="34" charset="0"/>
              <a:cs typeface="Arial" panose="020B0604020202020204" pitchFamily="34" charset="0"/>
            </a:rPr>
            <a:t>will not </a:t>
          </a:r>
          <a:r>
            <a:rPr lang="en-GB" sz="1200">
              <a:solidFill>
                <a:schemeClr val="bg1"/>
              </a:solidFill>
              <a:latin typeface="Arial" panose="020B0604020202020204" pitchFamily="34" charset="0"/>
              <a:cs typeface="Arial" panose="020B0604020202020204" pitchFamily="34" charset="0"/>
            </a:rPr>
            <a:t>be linked to your DAERA farm business ID.</a:t>
          </a:r>
        </a:p>
        <a:p>
          <a:pPr algn="ctr"/>
          <a:endParaRPr lang="en-GB" sz="1200">
            <a:solidFill>
              <a:schemeClr val="bg1"/>
            </a:solidFill>
            <a:latin typeface="Arial" panose="020B0604020202020204" pitchFamily="34" charset="0"/>
            <a:cs typeface="Arial" panose="020B0604020202020204" pitchFamily="34" charset="0"/>
          </a:endParaRPr>
        </a:p>
        <a:p>
          <a:pPr algn="ctr"/>
          <a:r>
            <a:rPr lang="en-GB" sz="1200">
              <a:solidFill>
                <a:schemeClr val="bg1"/>
              </a:solidFill>
              <a:latin typeface="Arial" panose="020B0604020202020204" pitchFamily="34" charset="0"/>
              <a:cs typeface="Arial" panose="020B0604020202020204" pitchFamily="34" charset="0"/>
            </a:rPr>
            <a:t>Please </a:t>
          </a:r>
          <a:r>
            <a:rPr lang="en-GB" sz="1200" u="sng">
              <a:solidFill>
                <a:schemeClr val="bg1"/>
              </a:solidFill>
              <a:latin typeface="Arial" panose="020B0604020202020204" pitchFamily="34" charset="0"/>
              <a:cs typeface="Arial" panose="020B0604020202020204" pitchFamily="34" charset="0"/>
            </a:rPr>
            <a:t>click here</a:t>
          </a:r>
          <a:r>
            <a:rPr lang="en-GB" sz="1200" u="none">
              <a:solidFill>
                <a:schemeClr val="bg1"/>
              </a:solidFill>
              <a:latin typeface="Arial" panose="020B0604020202020204" pitchFamily="34" charset="0"/>
              <a:cs typeface="Arial" panose="020B0604020202020204" pitchFamily="34" charset="0"/>
            </a:rPr>
            <a:t> </a:t>
          </a:r>
          <a:r>
            <a:rPr lang="en-GB" sz="1200">
              <a:solidFill>
                <a:schemeClr val="bg1"/>
              </a:solidFill>
              <a:latin typeface="Arial" panose="020B0604020202020204" pitchFamily="34" charset="0"/>
              <a:cs typeface="Arial" panose="020B0604020202020204" pitchFamily="34" charset="0"/>
            </a:rPr>
            <a:t>to send a query to the CAFRE team.</a:t>
          </a:r>
        </a:p>
        <a:p>
          <a:pPr algn="ctr"/>
          <a:endParaRPr lang="en-GB" sz="1200">
            <a:solidFill>
              <a:schemeClr val="bg1"/>
            </a:solidFill>
            <a:latin typeface="Arial" panose="020B0604020202020204" pitchFamily="34" charset="0"/>
            <a:cs typeface="Arial" panose="020B0604020202020204" pitchFamily="34" charset="0"/>
          </a:endParaRPr>
        </a:p>
      </xdr:txBody>
    </xdr:sp>
    <xdr:clientData/>
  </xdr:twoCellAnchor>
  <xdr:twoCellAnchor>
    <xdr:from>
      <xdr:col>10</xdr:col>
      <xdr:colOff>1412875</xdr:colOff>
      <xdr:row>90</xdr:row>
      <xdr:rowOff>166687</xdr:rowOff>
    </xdr:from>
    <xdr:to>
      <xdr:col>11</xdr:col>
      <xdr:colOff>1636955</xdr:colOff>
      <xdr:row>104</xdr:row>
      <xdr:rowOff>134937</xdr:rowOff>
    </xdr:to>
    <xdr:sp macro="" textlink="">
      <xdr:nvSpPr>
        <xdr:cNvPr id="10" name="Rounded Rectangle 6">
          <a:extLst>
            <a:ext uri="{FF2B5EF4-FFF2-40B4-BE49-F238E27FC236}">
              <a16:creationId xmlns:a16="http://schemas.microsoft.com/office/drawing/2014/main" id="{0165439E-28AB-4F72-A6CE-231E3D558AD8}"/>
            </a:ext>
          </a:extLst>
        </xdr:cNvPr>
        <xdr:cNvSpPr/>
      </xdr:nvSpPr>
      <xdr:spPr>
        <a:xfrm>
          <a:off x="7969250" y="36242625"/>
          <a:ext cx="2160830" cy="1905000"/>
        </a:xfrm>
        <a:prstGeom prst="roundRect">
          <a:avLst/>
        </a:prstGeom>
        <a:noFill/>
        <a:ln>
          <a:solidFill>
            <a:schemeClr val="accent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accent1">
                  <a:lumMod val="75000"/>
                </a:schemeClr>
              </a:solidFill>
              <a:latin typeface="Arial" panose="020B0604020202020204" pitchFamily="34" charset="0"/>
              <a:cs typeface="Arial" panose="020B0604020202020204" pitchFamily="34" charset="0"/>
            </a:rPr>
            <a:t>Print the tables</a:t>
          </a:r>
          <a:endParaRPr lang="en-GB" sz="1100" b="1">
            <a:solidFill>
              <a:schemeClr val="accent1">
                <a:lumMod val="75000"/>
              </a:schemeClr>
            </a:solidFill>
            <a:latin typeface="Arial" panose="020B0604020202020204" pitchFamily="34" charset="0"/>
            <a:cs typeface="Arial" panose="020B0604020202020204" pitchFamily="34" charset="0"/>
          </a:endParaRPr>
        </a:p>
        <a:p>
          <a:pPr algn="ctr"/>
          <a:r>
            <a:rPr lang="en-GB" sz="1050" b="0">
              <a:solidFill>
                <a:schemeClr val="accent1">
                  <a:lumMod val="75000"/>
                </a:schemeClr>
              </a:solidFill>
              <a:latin typeface="Arial" panose="020B0604020202020204" pitchFamily="34" charset="0"/>
              <a:cs typeface="Arial" panose="020B0604020202020204" pitchFamily="34" charset="0"/>
            </a:rPr>
            <a:t>It</a:t>
          </a:r>
          <a:r>
            <a:rPr lang="en-GB" sz="1050" b="0" baseline="0">
              <a:solidFill>
                <a:schemeClr val="accent1">
                  <a:lumMod val="75000"/>
                </a:schemeClr>
              </a:solidFill>
              <a:latin typeface="Arial" panose="020B0604020202020204" pitchFamily="34" charset="0"/>
              <a:cs typeface="Arial" panose="020B0604020202020204" pitchFamily="34" charset="0"/>
            </a:rPr>
            <a:t> is not a requirement but y</a:t>
          </a:r>
          <a:r>
            <a:rPr lang="en-GB" sz="1050" b="0">
              <a:solidFill>
                <a:schemeClr val="accent1">
                  <a:lumMod val="75000"/>
                </a:schemeClr>
              </a:solidFill>
              <a:latin typeface="Arial" panose="020B0604020202020204" pitchFamily="34" charset="0"/>
              <a:cs typeface="Arial" panose="020B0604020202020204" pitchFamily="34" charset="0"/>
            </a:rPr>
            <a:t>ou</a:t>
          </a:r>
          <a:r>
            <a:rPr lang="en-GB" sz="1050" b="0" baseline="0">
              <a:solidFill>
                <a:schemeClr val="accent1">
                  <a:lumMod val="75000"/>
                </a:schemeClr>
              </a:solidFill>
              <a:latin typeface="Arial" panose="020B0604020202020204" pitchFamily="34" charset="0"/>
              <a:cs typeface="Arial" panose="020B0604020202020204" pitchFamily="34" charset="0"/>
            </a:rPr>
            <a:t> may wish to print Benchmark 1 for your own records. </a:t>
          </a:r>
        </a:p>
        <a:p>
          <a:pPr algn="ctr"/>
          <a:endParaRPr lang="en-GB" sz="1050" b="0" baseline="0">
            <a:solidFill>
              <a:schemeClr val="accent1">
                <a:lumMod val="75000"/>
              </a:schemeClr>
            </a:solidFill>
            <a:latin typeface="Arial" panose="020B0604020202020204" pitchFamily="34" charset="0"/>
            <a:cs typeface="Arial" panose="020B0604020202020204" pitchFamily="34" charset="0"/>
          </a:endParaRPr>
        </a:p>
        <a:p>
          <a:pPr algn="ctr"/>
          <a:r>
            <a:rPr lang="en-GB" sz="1050" b="0" baseline="0">
              <a:solidFill>
                <a:schemeClr val="accent1">
                  <a:lumMod val="75000"/>
                </a:schemeClr>
              </a:solidFill>
              <a:latin typeface="Arial" panose="020B0604020202020204" pitchFamily="34" charset="0"/>
              <a:cs typeface="Arial" panose="020B0604020202020204" pitchFamily="34" charset="0"/>
            </a:rPr>
            <a:t>To print the table and the graph, please click "File" in the top left corner and then print.</a:t>
          </a:r>
          <a:endParaRPr lang="en-GB" sz="1050" b="0">
            <a:solidFill>
              <a:schemeClr val="accent1">
                <a:lumMod val="75000"/>
              </a:schemeClr>
            </a:solidFill>
            <a:latin typeface="Arial" panose="020B0604020202020204" pitchFamily="34" charset="0"/>
            <a:cs typeface="Arial" panose="020B0604020202020204" pitchFamily="34" charset="0"/>
          </a:endParaRPr>
        </a:p>
      </xdr:txBody>
    </xdr:sp>
    <xdr:clientData/>
  </xdr:twoCellAnchor>
  <xdr:twoCellAnchor>
    <xdr:from>
      <xdr:col>2</xdr:col>
      <xdr:colOff>0</xdr:colOff>
      <xdr:row>106</xdr:row>
      <xdr:rowOff>79375</xdr:rowOff>
    </xdr:from>
    <xdr:to>
      <xdr:col>10</xdr:col>
      <xdr:colOff>1325563</xdr:colOff>
      <xdr:row>108</xdr:row>
      <xdr:rowOff>79375</xdr:rowOff>
    </xdr:to>
    <xdr:sp macro="" textlink="">
      <xdr:nvSpPr>
        <xdr:cNvPr id="12" name="Rounded Rectangle 6">
          <a:hlinkClick xmlns:r="http://schemas.openxmlformats.org/officeDocument/2006/relationships" r:id="rId6"/>
          <a:extLst>
            <a:ext uri="{FF2B5EF4-FFF2-40B4-BE49-F238E27FC236}">
              <a16:creationId xmlns:a16="http://schemas.microsoft.com/office/drawing/2014/main" id="{3CAE124E-B3FF-45F9-AE72-8E32785742D0}"/>
            </a:ext>
          </a:extLst>
        </xdr:cNvPr>
        <xdr:cNvSpPr/>
      </xdr:nvSpPr>
      <xdr:spPr>
        <a:xfrm>
          <a:off x="579438" y="39362063"/>
          <a:ext cx="7302500" cy="809625"/>
        </a:xfrm>
        <a:prstGeom prst="roundRect">
          <a:avLst/>
        </a:prstGeom>
        <a:ln>
          <a:solidFill>
            <a:schemeClr val="accent1">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1400" b="1">
              <a:solidFill>
                <a:schemeClr val="accent1">
                  <a:lumMod val="75000"/>
                </a:schemeClr>
              </a:solidFill>
              <a:effectLst/>
              <a:latin typeface="Arial" panose="020B0604020202020204" pitchFamily="34" charset="0"/>
              <a:cs typeface="Arial" panose="020B0604020202020204" pitchFamily="34" charset="0"/>
            </a:rPr>
            <a:t>Evaluation Form</a:t>
          </a:r>
        </a:p>
        <a:p>
          <a:pPr algn="ctr"/>
          <a:r>
            <a:rPr lang="en-GB" sz="1100">
              <a:solidFill>
                <a:schemeClr val="accent1">
                  <a:lumMod val="75000"/>
                </a:schemeClr>
              </a:solidFill>
              <a:effectLst/>
              <a:latin typeface="Arial" panose="020B0604020202020204" pitchFamily="34" charset="0"/>
              <a:cs typeface="Arial" panose="020B0604020202020204" pitchFamily="34" charset="0"/>
            </a:rPr>
            <a:t>After using the</a:t>
          </a:r>
          <a:r>
            <a:rPr lang="en-GB" sz="1100" baseline="0">
              <a:solidFill>
                <a:schemeClr val="accent1">
                  <a:lumMod val="75000"/>
                </a:schemeClr>
              </a:solidFill>
              <a:effectLst/>
              <a:latin typeface="Arial" panose="020B0604020202020204" pitchFamily="34" charset="0"/>
              <a:cs typeface="Arial" panose="020B0604020202020204" pitchFamily="34" charset="0"/>
            </a:rPr>
            <a:t> assessment tool, pl</a:t>
          </a:r>
          <a:r>
            <a:rPr lang="en-GB" sz="1100">
              <a:solidFill>
                <a:schemeClr val="accent1">
                  <a:lumMod val="75000"/>
                </a:schemeClr>
              </a:solidFill>
              <a:effectLst/>
              <a:latin typeface="Arial" panose="020B0604020202020204" pitchFamily="34" charset="0"/>
              <a:cs typeface="Arial" panose="020B0604020202020204" pitchFamily="34" charset="0"/>
            </a:rPr>
            <a:t>ease </a:t>
          </a:r>
          <a:r>
            <a:rPr lang="en-GB" sz="1100" b="1" u="sng">
              <a:solidFill>
                <a:schemeClr val="accent1">
                  <a:lumMod val="75000"/>
                </a:schemeClr>
              </a:solidFill>
              <a:effectLst/>
              <a:latin typeface="Arial" panose="020B0604020202020204" pitchFamily="34" charset="0"/>
              <a:cs typeface="Arial" panose="020B0604020202020204" pitchFamily="34" charset="0"/>
            </a:rPr>
            <a:t>click here </a:t>
          </a:r>
          <a:r>
            <a:rPr lang="en-GB" sz="1100">
              <a:solidFill>
                <a:schemeClr val="accent1">
                  <a:lumMod val="75000"/>
                </a:schemeClr>
              </a:solidFill>
              <a:effectLst/>
              <a:latin typeface="Arial" panose="020B0604020202020204" pitchFamily="34" charset="0"/>
              <a:cs typeface="Arial" panose="020B0604020202020204" pitchFamily="34" charset="0"/>
            </a:rPr>
            <a:t>to complete</a:t>
          </a:r>
          <a:r>
            <a:rPr lang="en-GB" sz="1100" baseline="0">
              <a:solidFill>
                <a:schemeClr val="accent1">
                  <a:lumMod val="75000"/>
                </a:schemeClr>
              </a:solidFill>
              <a:effectLst/>
              <a:latin typeface="Arial" panose="020B0604020202020204" pitchFamily="34" charset="0"/>
              <a:cs typeface="Arial" panose="020B0604020202020204" pitchFamily="34" charset="0"/>
            </a:rPr>
            <a:t> a short evaluation form.</a:t>
          </a:r>
        </a:p>
        <a:p>
          <a:pPr algn="ctr"/>
          <a:r>
            <a:rPr lang="en-GB" sz="1100" baseline="0">
              <a:solidFill>
                <a:schemeClr val="accent1">
                  <a:lumMod val="75000"/>
                </a:schemeClr>
              </a:solidFill>
              <a:effectLst/>
              <a:latin typeface="Arial" panose="020B0604020202020204" pitchFamily="34" charset="0"/>
              <a:cs typeface="Arial" panose="020B0604020202020204" pitchFamily="34" charset="0"/>
            </a:rPr>
            <a:t>Your response will help with the development of future tools. Thank-you</a:t>
          </a:r>
          <a:endParaRPr lang="en-GB" sz="1100">
            <a:solidFill>
              <a:schemeClr val="accent1">
                <a:lumMod val="75000"/>
              </a:schemeClr>
            </a:solidFill>
            <a:effectLst/>
            <a:latin typeface="Arial" panose="020B0604020202020204" pitchFamily="34" charset="0"/>
            <a:cs typeface="Arial" panose="020B0604020202020204" pitchFamily="34" charset="0"/>
          </a:endParaRPr>
        </a:p>
      </xdr:txBody>
    </xdr:sp>
    <xdr:clientData/>
  </xdr:twoCellAnchor>
  <xdr:twoCellAnchor>
    <xdr:from>
      <xdr:col>10</xdr:col>
      <xdr:colOff>341313</xdr:colOff>
      <xdr:row>27</xdr:row>
      <xdr:rowOff>269874</xdr:rowOff>
    </xdr:from>
    <xdr:to>
      <xdr:col>12</xdr:col>
      <xdr:colOff>55563</xdr:colOff>
      <xdr:row>30</xdr:row>
      <xdr:rowOff>7937</xdr:rowOff>
    </xdr:to>
    <xdr:sp macro="" textlink="">
      <xdr:nvSpPr>
        <xdr:cNvPr id="13" name="Rounded Rectangle 3">
          <a:hlinkClick xmlns:r="http://schemas.openxmlformats.org/officeDocument/2006/relationships" r:id="rId7"/>
          <a:extLst>
            <a:ext uri="{FF2B5EF4-FFF2-40B4-BE49-F238E27FC236}">
              <a16:creationId xmlns:a16="http://schemas.microsoft.com/office/drawing/2014/main" id="{BEB8B436-2E7B-4235-95F1-73249E2FA495}"/>
            </a:ext>
          </a:extLst>
        </xdr:cNvPr>
        <xdr:cNvSpPr/>
      </xdr:nvSpPr>
      <xdr:spPr>
        <a:xfrm>
          <a:off x="6897688" y="7104062"/>
          <a:ext cx="3302000" cy="595313"/>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u="sng">
              <a:solidFill>
                <a:schemeClr val="lt1"/>
              </a:solidFill>
              <a:effectLst/>
              <a:latin typeface="Arial" panose="020B0604020202020204" pitchFamily="34" charset="0"/>
              <a:ea typeface="+mn-ea"/>
              <a:cs typeface="Arial" panose="020B0604020202020204" pitchFamily="34" charset="0"/>
            </a:rPr>
            <a:t>Click here</a:t>
          </a:r>
          <a:r>
            <a:rPr lang="en-GB" sz="1200" b="1">
              <a:solidFill>
                <a:schemeClr val="lt1"/>
              </a:solidFill>
              <a:effectLst/>
              <a:latin typeface="Arial" panose="020B0604020202020204" pitchFamily="34" charset="0"/>
              <a:ea typeface="+mn-ea"/>
              <a:cs typeface="Arial" panose="020B0604020202020204" pitchFamily="34" charset="0"/>
            </a:rPr>
            <a:t> to access the </a:t>
          </a:r>
          <a:r>
            <a:rPr lang="en-GB" sz="1200" b="1" u="sng">
              <a:solidFill>
                <a:schemeClr val="lt1"/>
              </a:solidFill>
              <a:effectLst/>
              <a:latin typeface="Arial" panose="020B0604020202020204" pitchFamily="34" charset="0"/>
              <a:ea typeface="+mn-ea"/>
              <a:cs typeface="Arial" panose="020B0604020202020204" pitchFamily="34" charset="0"/>
            </a:rPr>
            <a:t>Frequently</a:t>
          </a:r>
          <a:r>
            <a:rPr lang="en-GB" sz="1200" b="1" u="sng" baseline="0">
              <a:solidFill>
                <a:schemeClr val="lt1"/>
              </a:solidFill>
              <a:effectLst/>
              <a:latin typeface="Arial" panose="020B0604020202020204" pitchFamily="34" charset="0"/>
              <a:ea typeface="+mn-ea"/>
              <a:cs typeface="Arial" panose="020B0604020202020204" pitchFamily="34" charset="0"/>
            </a:rPr>
            <a:t> Asked Questions</a:t>
          </a:r>
          <a:endParaRPr lang="en-GB" sz="1400" u="sng">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198437</xdr:colOff>
      <xdr:row>9</xdr:row>
      <xdr:rowOff>79373</xdr:rowOff>
    </xdr:from>
    <xdr:to>
      <xdr:col>8</xdr:col>
      <xdr:colOff>1960560</xdr:colOff>
      <xdr:row>13</xdr:row>
      <xdr:rowOff>388935</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7096125" y="3968748"/>
          <a:ext cx="1960560" cy="2254250"/>
          <a:chOff x="7197699" y="2864606"/>
          <a:chExt cx="2422664" cy="1992306"/>
        </a:xfrm>
      </xdr:grpSpPr>
      <xdr:sp macro="" textlink="">
        <xdr:nvSpPr>
          <xdr:cNvPr id="19" name="Rounded Rectangle 18">
            <a:extLst>
              <a:ext uri="{FF2B5EF4-FFF2-40B4-BE49-F238E27FC236}">
                <a16:creationId xmlns:a16="http://schemas.microsoft.com/office/drawing/2014/main" id="{00000000-0008-0000-0300-000013000000}"/>
              </a:ext>
            </a:extLst>
          </xdr:cNvPr>
          <xdr:cNvSpPr/>
        </xdr:nvSpPr>
        <xdr:spPr>
          <a:xfrm>
            <a:off x="7315698" y="2864606"/>
            <a:ext cx="2304665" cy="1992306"/>
          </a:xfrm>
          <a:prstGeom prst="roundRect">
            <a:avLst/>
          </a:prstGeom>
          <a:solidFill>
            <a:srgbClr val="B8E08C"/>
          </a:solidFill>
          <a:ln>
            <a:solidFill>
              <a:srgbClr val="B8E08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1">
                <a:solidFill>
                  <a:sysClr val="windowText" lastClr="000000"/>
                </a:solidFill>
                <a:latin typeface="Arial" panose="020B0604020202020204" pitchFamily="34" charset="0"/>
                <a:cs typeface="Arial" panose="020B0604020202020204" pitchFamily="34" charset="0"/>
              </a:rPr>
              <a:t>HINT</a:t>
            </a:r>
          </a:p>
          <a:p>
            <a:pPr algn="ctr"/>
            <a:r>
              <a:rPr lang="en-GB" sz="1000">
                <a:solidFill>
                  <a:sysClr val="windowText" lastClr="000000"/>
                </a:solidFill>
                <a:latin typeface="Arial" panose="020B0604020202020204" pitchFamily="34" charset="0"/>
                <a:cs typeface="Arial" panose="020B0604020202020204" pitchFamily="34" charset="0"/>
              </a:rPr>
              <a:t>1. Click on the green box for</a:t>
            </a:r>
            <a:r>
              <a:rPr lang="en-GB" sz="1000" baseline="0">
                <a:solidFill>
                  <a:sysClr val="windowText" lastClr="000000"/>
                </a:solidFill>
                <a:latin typeface="Arial" panose="020B0604020202020204" pitchFamily="34" charset="0"/>
                <a:cs typeface="Arial" panose="020B0604020202020204" pitchFamily="34" charset="0"/>
              </a:rPr>
              <a:t> an arrow to appear.</a:t>
            </a:r>
          </a:p>
          <a:p>
            <a:pPr algn="ctr"/>
            <a:endParaRPr lang="en-GB" sz="1000" baseline="0">
              <a:solidFill>
                <a:sysClr val="windowText" lastClr="000000"/>
              </a:solidFill>
              <a:latin typeface="Arial" panose="020B0604020202020204" pitchFamily="34" charset="0"/>
              <a:cs typeface="Arial" panose="020B0604020202020204" pitchFamily="34" charset="0"/>
            </a:endParaRPr>
          </a:p>
          <a:p>
            <a:pPr algn="ctr"/>
            <a:r>
              <a:rPr lang="en-GB" sz="1000" baseline="0">
                <a:solidFill>
                  <a:sysClr val="windowText" lastClr="000000"/>
                </a:solidFill>
                <a:latin typeface="Arial" panose="020B0604020202020204" pitchFamily="34" charset="0"/>
                <a:cs typeface="Arial" panose="020B0604020202020204" pitchFamily="34" charset="0"/>
              </a:rPr>
              <a:t>2. Click on the arrow for a list of answers.</a:t>
            </a:r>
          </a:p>
          <a:p>
            <a:pPr algn="ctr"/>
            <a:endParaRPr lang="en-GB" sz="1000" baseline="0">
              <a:solidFill>
                <a:sysClr val="windowText" lastClr="000000"/>
              </a:solidFill>
              <a:latin typeface="Arial" panose="020B0604020202020204" pitchFamily="34" charset="0"/>
              <a:cs typeface="Arial" panose="020B0604020202020204" pitchFamily="34" charset="0"/>
            </a:endParaRPr>
          </a:p>
          <a:p>
            <a:pPr algn="ctr"/>
            <a:r>
              <a:rPr lang="en-GB" sz="1000" baseline="0">
                <a:solidFill>
                  <a:sysClr val="windowText" lastClr="000000"/>
                </a:solidFill>
                <a:latin typeface="Arial" panose="020B0604020202020204" pitchFamily="34" charset="0"/>
                <a:cs typeface="Arial" panose="020B0604020202020204" pitchFamily="34" charset="0"/>
              </a:rPr>
              <a:t>3. Select the most appropriate answer from the list. You will not be able to type into the green boxes.</a:t>
            </a:r>
            <a:endParaRPr lang="en-GB" sz="1000">
              <a:solidFill>
                <a:sysClr val="windowText" lastClr="000000"/>
              </a:solidFill>
              <a:latin typeface="Arial" panose="020B0604020202020204" pitchFamily="34" charset="0"/>
              <a:cs typeface="Arial" panose="020B0604020202020204" pitchFamily="34" charset="0"/>
            </a:endParaRPr>
          </a:p>
        </xdr:txBody>
      </xdr:sp>
      <xdr:sp macro="" textlink="">
        <xdr:nvSpPr>
          <xdr:cNvPr id="20" name="Left Arrow 19">
            <a:extLst>
              <a:ext uri="{FF2B5EF4-FFF2-40B4-BE49-F238E27FC236}">
                <a16:creationId xmlns:a16="http://schemas.microsoft.com/office/drawing/2014/main" id="{00000000-0008-0000-0300-000014000000}"/>
              </a:ext>
            </a:extLst>
          </xdr:cNvPr>
          <xdr:cNvSpPr/>
        </xdr:nvSpPr>
        <xdr:spPr>
          <a:xfrm>
            <a:off x="7197699" y="2994842"/>
            <a:ext cx="303428" cy="190623"/>
          </a:xfrm>
          <a:prstGeom prst="leftArrow">
            <a:avLst/>
          </a:prstGeom>
          <a:solidFill>
            <a:srgbClr val="B8E08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2" name="Left Arrow 21">
            <a:extLst>
              <a:ext uri="{FF2B5EF4-FFF2-40B4-BE49-F238E27FC236}">
                <a16:creationId xmlns:a16="http://schemas.microsoft.com/office/drawing/2014/main" id="{00000000-0008-0000-0300-000016000000}"/>
              </a:ext>
            </a:extLst>
          </xdr:cNvPr>
          <xdr:cNvSpPr/>
        </xdr:nvSpPr>
        <xdr:spPr>
          <a:xfrm>
            <a:off x="7224623" y="3756226"/>
            <a:ext cx="308524" cy="191401"/>
          </a:xfrm>
          <a:prstGeom prst="leftArrow">
            <a:avLst/>
          </a:prstGeom>
          <a:solidFill>
            <a:srgbClr val="B8E08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8</xdr:col>
      <xdr:colOff>333375</xdr:colOff>
      <xdr:row>29</xdr:row>
      <xdr:rowOff>103189</xdr:rowOff>
    </xdr:from>
    <xdr:to>
      <xdr:col>8</xdr:col>
      <xdr:colOff>1963739</xdr:colOff>
      <xdr:row>30</xdr:row>
      <xdr:rowOff>406401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7429500" y="13200064"/>
          <a:ext cx="1630364" cy="723900"/>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bg1"/>
              </a:solidFill>
              <a:latin typeface="Arial" panose="020B0604020202020204" pitchFamily="34" charset="0"/>
              <a:cs typeface="Arial" panose="020B0604020202020204" pitchFamily="34" charset="0"/>
            </a:rPr>
            <a:t>Click </a:t>
          </a:r>
          <a:r>
            <a:rPr lang="en-GB" sz="1200" b="1" u="sng">
              <a:solidFill>
                <a:schemeClr val="bg1"/>
              </a:solidFill>
              <a:latin typeface="Arial" panose="020B0604020202020204" pitchFamily="34" charset="0"/>
              <a:cs typeface="Arial" panose="020B0604020202020204" pitchFamily="34" charset="0"/>
            </a:rPr>
            <a:t>here</a:t>
          </a:r>
          <a:r>
            <a:rPr lang="en-GB" sz="1200" b="1">
              <a:solidFill>
                <a:schemeClr val="bg1"/>
              </a:solidFill>
              <a:latin typeface="Arial" panose="020B0604020202020204" pitchFamily="34" charset="0"/>
              <a:cs typeface="Arial" panose="020B0604020202020204" pitchFamily="34" charset="0"/>
            </a:rPr>
            <a:t> to go to the next section</a:t>
          </a:r>
        </a:p>
      </xdr:txBody>
    </xdr:sp>
    <xdr:clientData/>
  </xdr:twoCellAnchor>
  <xdr:twoCellAnchor>
    <xdr:from>
      <xdr:col>8</xdr:col>
      <xdr:colOff>309563</xdr:colOff>
      <xdr:row>14</xdr:row>
      <xdr:rowOff>23819</xdr:rowOff>
    </xdr:from>
    <xdr:to>
      <xdr:col>8</xdr:col>
      <xdr:colOff>1968499</xdr:colOff>
      <xdr:row>15</xdr:row>
      <xdr:rowOff>357187</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300-000004000000}"/>
            </a:ext>
          </a:extLst>
        </xdr:cNvPr>
        <xdr:cNvSpPr/>
      </xdr:nvSpPr>
      <xdr:spPr>
        <a:xfrm>
          <a:off x="7405688" y="6254757"/>
          <a:ext cx="1658936" cy="777868"/>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Click </a:t>
          </a:r>
          <a:r>
            <a:rPr lang="en-GB" sz="1100" b="1" u="sng">
              <a:solidFill>
                <a:schemeClr val="bg1"/>
              </a:solidFill>
              <a:latin typeface="Arial" panose="020B0604020202020204" pitchFamily="34" charset="0"/>
              <a:cs typeface="Arial" panose="020B0604020202020204" pitchFamily="34" charset="0"/>
            </a:rPr>
            <a:t>here</a:t>
          </a:r>
          <a:r>
            <a:rPr lang="en-GB" sz="1100" b="1" u="none" baseline="0">
              <a:solidFill>
                <a:schemeClr val="bg1"/>
              </a:solidFill>
              <a:latin typeface="Arial" panose="020B0604020202020204" pitchFamily="34" charset="0"/>
              <a:cs typeface="Arial" panose="020B0604020202020204" pitchFamily="34" charset="0"/>
            </a:rPr>
            <a:t> to return to t</a:t>
          </a:r>
          <a:r>
            <a:rPr lang="en-GB" sz="1100" b="1">
              <a:solidFill>
                <a:schemeClr val="bg1"/>
              </a:solidFill>
              <a:latin typeface="Arial" panose="020B0604020202020204" pitchFamily="34" charset="0"/>
              <a:cs typeface="Arial" panose="020B0604020202020204" pitchFamily="34" charset="0"/>
            </a:rPr>
            <a:t>he %</a:t>
          </a:r>
          <a:r>
            <a:rPr lang="en-GB" sz="1100" b="1" baseline="0">
              <a:solidFill>
                <a:schemeClr val="bg1"/>
              </a:solidFill>
              <a:latin typeface="Arial" panose="020B0604020202020204" pitchFamily="34" charset="0"/>
              <a:cs typeface="Arial" panose="020B0604020202020204" pitchFamily="34" charset="0"/>
            </a:rPr>
            <a:t> habitat</a:t>
          </a:r>
          <a:r>
            <a:rPr lang="en-GB" sz="1100" b="1">
              <a:solidFill>
                <a:schemeClr val="bg1"/>
              </a:solidFill>
              <a:latin typeface="Arial" panose="020B0604020202020204" pitchFamily="34" charset="0"/>
              <a:cs typeface="Arial" panose="020B0604020202020204" pitchFamily="34" charset="0"/>
            </a:rPr>
            <a:t> page</a:t>
          </a:r>
        </a:p>
      </xdr:txBody>
    </xdr:sp>
    <xdr:clientData/>
  </xdr:twoCellAnchor>
  <xdr:twoCellAnchor editAs="oneCell">
    <xdr:from>
      <xdr:col>8</xdr:col>
      <xdr:colOff>31750</xdr:colOff>
      <xdr:row>0</xdr:row>
      <xdr:rowOff>156104</xdr:rowOff>
    </xdr:from>
    <xdr:to>
      <xdr:col>8</xdr:col>
      <xdr:colOff>2023149</xdr:colOff>
      <xdr:row>2</xdr:row>
      <xdr:rowOff>47625</xdr:rowOff>
    </xdr:to>
    <xdr:pic>
      <xdr:nvPicPr>
        <xdr:cNvPr id="5" name="Picture 4" descr="College of Agriculture, Food and Rural Enterprise | CAFRE">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262813" y="156104"/>
          <a:ext cx="1991399" cy="740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87312</xdr:colOff>
      <xdr:row>23</xdr:row>
      <xdr:rowOff>412749</xdr:rowOff>
    </xdr:from>
    <xdr:to>
      <xdr:col>8</xdr:col>
      <xdr:colOff>1957387</xdr:colOff>
      <xdr:row>24</xdr:row>
      <xdr:rowOff>650874</xdr:rowOff>
    </xdr:to>
    <xdr:sp macro="" textlink="">
      <xdr:nvSpPr>
        <xdr:cNvPr id="8" name="Explosion 1 17">
          <a:extLst>
            <a:ext uri="{FF2B5EF4-FFF2-40B4-BE49-F238E27FC236}">
              <a16:creationId xmlns:a16="http://schemas.microsoft.com/office/drawing/2014/main" id="{7F504BCD-AD14-4642-A164-89DD901AAB5E}"/>
            </a:ext>
          </a:extLst>
        </xdr:cNvPr>
        <xdr:cNvSpPr/>
      </xdr:nvSpPr>
      <xdr:spPr>
        <a:xfrm>
          <a:off x="7207250" y="10707687"/>
          <a:ext cx="1870075" cy="682625"/>
        </a:xfrm>
        <a:prstGeom prst="roundRect">
          <a:avLst/>
        </a:prstGeom>
        <a:solidFill>
          <a:srgbClr val="F1F17B"/>
        </a:solidFill>
        <a:ln>
          <a:solidFill>
            <a:srgbClr val="F1F1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u="none">
              <a:solidFill>
                <a:sysClr val="windowText" lastClr="000000"/>
              </a:solidFill>
              <a:latin typeface="Arial" panose="020B0604020202020204" pitchFamily="34" charset="0"/>
              <a:cs typeface="Arial" panose="020B0604020202020204" pitchFamily="34" charset="0"/>
            </a:rPr>
            <a:t>HINT</a:t>
          </a:r>
        </a:p>
        <a:p>
          <a:pPr algn="ctr"/>
          <a:r>
            <a:rPr lang="en-GB" sz="1050">
              <a:solidFill>
                <a:sysClr val="windowText" lastClr="000000"/>
              </a:solidFill>
              <a:latin typeface="Arial" panose="020B0604020202020204" pitchFamily="34" charset="0"/>
              <a:cs typeface="Arial" panose="020B0604020202020204" pitchFamily="34" charset="0"/>
            </a:rPr>
            <a:t>Where a yellow box appears, please enter your own information.</a:t>
          </a:r>
        </a:p>
      </xdr:txBody>
    </xdr:sp>
    <xdr:clientData/>
  </xdr:twoCellAnchor>
  <xdr:twoCellAnchor>
    <xdr:from>
      <xdr:col>8</xdr:col>
      <xdr:colOff>106361</xdr:colOff>
      <xdr:row>2</xdr:row>
      <xdr:rowOff>79392</xdr:rowOff>
    </xdr:from>
    <xdr:to>
      <xdr:col>8</xdr:col>
      <xdr:colOff>1947855</xdr:colOff>
      <xdr:row>6</xdr:row>
      <xdr:rowOff>246079</xdr:rowOff>
    </xdr:to>
    <xdr:sp macro="" textlink="">
      <xdr:nvSpPr>
        <xdr:cNvPr id="2" name="Explosion 1 17">
          <a:hlinkClick xmlns:r="http://schemas.openxmlformats.org/officeDocument/2006/relationships" r:id="rId4"/>
          <a:extLst>
            <a:ext uri="{FF2B5EF4-FFF2-40B4-BE49-F238E27FC236}">
              <a16:creationId xmlns:a16="http://schemas.microsoft.com/office/drawing/2014/main" id="{8E134874-B53B-40BF-84F2-48ECD40A6DF4}"/>
            </a:ext>
          </a:extLst>
        </xdr:cNvPr>
        <xdr:cNvSpPr/>
      </xdr:nvSpPr>
      <xdr:spPr>
        <a:xfrm>
          <a:off x="7226299" y="928705"/>
          <a:ext cx="1841494" cy="1849437"/>
        </a:xfrm>
        <a:prstGeom prst="roundRect">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1" u="none">
              <a:solidFill>
                <a:schemeClr val="tx2">
                  <a:lumMod val="75000"/>
                </a:schemeClr>
              </a:solidFill>
              <a:latin typeface="Arial" panose="020B0604020202020204" pitchFamily="34" charset="0"/>
              <a:cs typeface="Arial" panose="020B0604020202020204" pitchFamily="34" charset="0"/>
            </a:rPr>
            <a:t>HINT:</a:t>
          </a:r>
          <a:r>
            <a:rPr lang="en-GB" sz="1000" b="1" u="none" baseline="0">
              <a:solidFill>
                <a:schemeClr val="tx2">
                  <a:lumMod val="75000"/>
                </a:schemeClr>
              </a:solidFill>
              <a:latin typeface="Arial" panose="020B0604020202020204" pitchFamily="34" charset="0"/>
              <a:cs typeface="Arial" panose="020B0604020202020204" pitchFamily="34" charset="0"/>
            </a:rPr>
            <a:t> </a:t>
          </a:r>
          <a:r>
            <a:rPr lang="en-GB" sz="1000">
              <a:solidFill>
                <a:schemeClr val="tx2">
                  <a:lumMod val="75000"/>
                </a:schemeClr>
              </a:solidFill>
              <a:latin typeface="Arial" panose="020B0604020202020204" pitchFamily="34" charset="0"/>
              <a:cs typeface="Arial" panose="020B0604020202020204" pitchFamily="34" charset="0"/>
            </a:rPr>
            <a:t>These figures have been populated from the % Habitat Score</a:t>
          </a:r>
          <a:r>
            <a:rPr lang="en-GB" sz="1000" baseline="0">
              <a:solidFill>
                <a:schemeClr val="tx2">
                  <a:lumMod val="75000"/>
                </a:schemeClr>
              </a:solidFill>
              <a:latin typeface="Arial" panose="020B0604020202020204" pitchFamily="34" charset="0"/>
              <a:cs typeface="Arial" panose="020B0604020202020204" pitchFamily="34" charset="0"/>
            </a:rPr>
            <a:t> Sheet</a:t>
          </a:r>
          <a:r>
            <a:rPr lang="en-GB" sz="1000">
              <a:solidFill>
                <a:schemeClr val="tx2">
                  <a:lumMod val="75000"/>
                </a:schemeClr>
              </a:solidFill>
              <a:latin typeface="Arial" panose="020B0604020202020204" pitchFamily="34" charset="0"/>
              <a:cs typeface="Arial" panose="020B0604020202020204" pitchFamily="34" charset="0"/>
            </a:rPr>
            <a:t>.</a:t>
          </a:r>
        </a:p>
        <a:p>
          <a:pPr algn="ctr"/>
          <a:endParaRPr lang="en-GB" sz="1000">
            <a:solidFill>
              <a:schemeClr val="tx2">
                <a:lumMod val="75000"/>
              </a:schemeClr>
            </a:solidFill>
            <a:latin typeface="Arial" panose="020B0604020202020204" pitchFamily="34" charset="0"/>
            <a:cs typeface="Arial" panose="020B0604020202020204" pitchFamily="34" charset="0"/>
          </a:endParaRPr>
        </a:p>
        <a:p>
          <a:pPr algn="ctr"/>
          <a:r>
            <a:rPr lang="en-GB" sz="1000">
              <a:solidFill>
                <a:schemeClr val="tx2">
                  <a:lumMod val="75000"/>
                </a:schemeClr>
              </a:solidFill>
              <a:latin typeface="Arial" panose="020B0604020202020204" pitchFamily="34" charset="0"/>
              <a:cs typeface="Arial" panose="020B0604020202020204" pitchFamily="34" charset="0"/>
            </a:rPr>
            <a:t>If</a:t>
          </a:r>
          <a:r>
            <a:rPr lang="en-GB" sz="1000" baseline="0">
              <a:solidFill>
                <a:schemeClr val="tx2">
                  <a:lumMod val="75000"/>
                </a:schemeClr>
              </a:solidFill>
              <a:latin typeface="Arial" panose="020B0604020202020204" pitchFamily="34" charset="0"/>
              <a:cs typeface="Arial" panose="020B0604020202020204" pitchFamily="34" charset="0"/>
            </a:rPr>
            <a:t> these figures are incorrect and you need to change them, please click </a:t>
          </a:r>
          <a:r>
            <a:rPr lang="en-GB" sz="1000" u="sng" baseline="0">
              <a:solidFill>
                <a:schemeClr val="tx2">
                  <a:lumMod val="75000"/>
                </a:schemeClr>
              </a:solidFill>
              <a:latin typeface="Arial" panose="020B0604020202020204" pitchFamily="34" charset="0"/>
              <a:cs typeface="Arial" panose="020B0604020202020204" pitchFamily="34" charset="0"/>
            </a:rPr>
            <a:t>here</a:t>
          </a:r>
          <a:r>
            <a:rPr lang="en-GB" sz="1000" u="none" baseline="0">
              <a:solidFill>
                <a:schemeClr val="tx2">
                  <a:lumMod val="75000"/>
                </a:schemeClr>
              </a:solidFill>
              <a:latin typeface="Arial" panose="020B0604020202020204" pitchFamily="34" charset="0"/>
              <a:cs typeface="Arial" panose="020B0604020202020204" pitchFamily="34" charset="0"/>
            </a:rPr>
            <a:t> to</a:t>
          </a:r>
          <a:r>
            <a:rPr lang="en-GB" sz="1000" baseline="0">
              <a:solidFill>
                <a:schemeClr val="tx2">
                  <a:lumMod val="75000"/>
                </a:schemeClr>
              </a:solidFill>
              <a:latin typeface="Arial" panose="020B0604020202020204" pitchFamily="34" charset="0"/>
              <a:cs typeface="Arial" panose="020B0604020202020204" pitchFamily="34" charset="0"/>
            </a:rPr>
            <a:t> return to the % Habitat Score sheet and amend the figures there.</a:t>
          </a:r>
          <a:endParaRPr lang="en-GB" sz="100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8</xdr:col>
      <xdr:colOff>34923</xdr:colOff>
      <xdr:row>3</xdr:row>
      <xdr:rowOff>88629</xdr:rowOff>
    </xdr:from>
    <xdr:to>
      <xdr:col>8</xdr:col>
      <xdr:colOff>265110</xdr:colOff>
      <xdr:row>3</xdr:row>
      <xdr:rowOff>296046</xdr:rowOff>
    </xdr:to>
    <xdr:sp macro="" textlink="">
      <xdr:nvSpPr>
        <xdr:cNvPr id="7" name="Left Arrow 20">
          <a:extLst>
            <a:ext uri="{FF2B5EF4-FFF2-40B4-BE49-F238E27FC236}">
              <a16:creationId xmlns:a16="http://schemas.microsoft.com/office/drawing/2014/main" id="{B8088EAB-FE2F-44BD-AC46-916B5E28F916}"/>
            </a:ext>
          </a:extLst>
        </xdr:cNvPr>
        <xdr:cNvSpPr/>
      </xdr:nvSpPr>
      <xdr:spPr>
        <a:xfrm>
          <a:off x="7154861" y="1358629"/>
          <a:ext cx="230187" cy="207417"/>
        </a:xfrm>
        <a:prstGeom prst="leftArrow">
          <a:avLst/>
        </a:prstGeom>
        <a:solidFill>
          <a:schemeClr val="accent1">
            <a:lumMod val="75000"/>
          </a:schemeClr>
        </a:solidFill>
        <a:ln w="6350">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103189</xdr:colOff>
      <xdr:row>6</xdr:row>
      <xdr:rowOff>309564</xdr:rowOff>
    </xdr:from>
    <xdr:to>
      <xdr:col>8</xdr:col>
      <xdr:colOff>1944689</xdr:colOff>
      <xdr:row>9</xdr:row>
      <xdr:rowOff>23813</xdr:rowOff>
    </xdr:to>
    <xdr:sp macro="" textlink="">
      <xdr:nvSpPr>
        <xdr:cNvPr id="9" name="Rectangle: Rounded Corners 8">
          <a:extLst>
            <a:ext uri="{FF2B5EF4-FFF2-40B4-BE49-F238E27FC236}">
              <a16:creationId xmlns:a16="http://schemas.microsoft.com/office/drawing/2014/main" id="{CD02C44F-7A59-455B-AC3C-F52F6833F9E7}"/>
            </a:ext>
          </a:extLst>
        </xdr:cNvPr>
        <xdr:cNvSpPr/>
      </xdr:nvSpPr>
      <xdr:spPr>
        <a:xfrm>
          <a:off x="7223127" y="2841627"/>
          <a:ext cx="1841500" cy="1023936"/>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a:solidFill>
                <a:sysClr val="windowText" lastClr="000000"/>
              </a:solidFill>
              <a:latin typeface="Arial" panose="020B0604020202020204" pitchFamily="34" charset="0"/>
              <a:cs typeface="Arial" panose="020B0604020202020204" pitchFamily="34" charset="0"/>
            </a:rPr>
            <a:t>To move to the next answer box, please use the right arrow key on your keyboard or scroll using</a:t>
          </a:r>
          <a:r>
            <a:rPr lang="en-GB" sz="1050" baseline="0">
              <a:solidFill>
                <a:sysClr val="windowText" lastClr="000000"/>
              </a:solidFill>
              <a:latin typeface="Arial" panose="020B0604020202020204" pitchFamily="34" charset="0"/>
              <a:cs typeface="Arial" panose="020B0604020202020204" pitchFamily="34" charset="0"/>
            </a:rPr>
            <a:t> the mouse.</a:t>
          </a:r>
        </a:p>
      </xdr:txBody>
    </xdr:sp>
    <xdr:clientData/>
  </xdr:twoCellAnchor>
  <xdr:twoCellAnchor>
    <xdr:from>
      <xdr:col>8</xdr:col>
      <xdr:colOff>325437</xdr:colOff>
      <xdr:row>15</xdr:row>
      <xdr:rowOff>436563</xdr:rowOff>
    </xdr:from>
    <xdr:to>
      <xdr:col>8</xdr:col>
      <xdr:colOff>1976437</xdr:colOff>
      <xdr:row>17</xdr:row>
      <xdr:rowOff>436562</xdr:rowOff>
    </xdr:to>
    <xdr:sp macro="" textlink="">
      <xdr:nvSpPr>
        <xdr:cNvPr id="10" name="Rounded Rectangle 3">
          <a:hlinkClick xmlns:r="http://schemas.openxmlformats.org/officeDocument/2006/relationships" r:id="rId5"/>
          <a:extLst>
            <a:ext uri="{FF2B5EF4-FFF2-40B4-BE49-F238E27FC236}">
              <a16:creationId xmlns:a16="http://schemas.microsoft.com/office/drawing/2014/main" id="{730671E0-632A-49A9-9FFC-C51DE7375B4D}"/>
            </a:ext>
          </a:extLst>
        </xdr:cNvPr>
        <xdr:cNvSpPr/>
      </xdr:nvSpPr>
      <xdr:spPr>
        <a:xfrm>
          <a:off x="7421562" y="7159626"/>
          <a:ext cx="1651000" cy="952499"/>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u="sng">
              <a:solidFill>
                <a:schemeClr val="lt1"/>
              </a:solidFill>
              <a:effectLst/>
              <a:latin typeface="Arial" panose="020B0604020202020204" pitchFamily="34" charset="0"/>
              <a:ea typeface="+mn-ea"/>
              <a:cs typeface="Arial" panose="020B0604020202020204" pitchFamily="34" charset="0"/>
            </a:rPr>
            <a:t>Click here</a:t>
          </a:r>
          <a:r>
            <a:rPr lang="en-GB" sz="1100" b="1">
              <a:solidFill>
                <a:schemeClr val="lt1"/>
              </a:solidFill>
              <a:effectLst/>
              <a:latin typeface="Arial" panose="020B0604020202020204" pitchFamily="34" charset="0"/>
              <a:ea typeface="+mn-ea"/>
              <a:cs typeface="Arial" panose="020B0604020202020204" pitchFamily="34" charset="0"/>
            </a:rPr>
            <a:t> to access the </a:t>
          </a:r>
          <a:r>
            <a:rPr lang="en-GB" sz="1100" b="1" u="sng">
              <a:solidFill>
                <a:schemeClr val="lt1"/>
              </a:solidFill>
              <a:effectLst/>
              <a:latin typeface="Arial" panose="020B0604020202020204" pitchFamily="34" charset="0"/>
              <a:ea typeface="+mn-ea"/>
              <a:cs typeface="Arial" panose="020B0604020202020204" pitchFamily="34" charset="0"/>
            </a:rPr>
            <a:t>Frequently</a:t>
          </a:r>
          <a:r>
            <a:rPr lang="en-GB" sz="1100" b="1" u="sng" baseline="0">
              <a:solidFill>
                <a:schemeClr val="lt1"/>
              </a:solidFill>
              <a:effectLst/>
              <a:latin typeface="Arial" panose="020B0604020202020204" pitchFamily="34" charset="0"/>
              <a:ea typeface="+mn-ea"/>
              <a:cs typeface="Arial" panose="020B0604020202020204" pitchFamily="34" charset="0"/>
            </a:rPr>
            <a:t> Asked Questions</a:t>
          </a:r>
          <a:endParaRPr lang="en-GB" sz="1200" b="1" u="sng">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8</xdr:col>
      <xdr:colOff>50270</xdr:colOff>
      <xdr:row>0</xdr:row>
      <xdr:rowOff>277814</xdr:rowOff>
    </xdr:from>
    <xdr:ext cx="1894064" cy="706435"/>
    <xdr:pic>
      <xdr:nvPicPr>
        <xdr:cNvPr id="2" name="Picture 1" descr="College of Agriculture, Food and Rural Enterprise | CAFRE">
          <a:extLst>
            <a:ext uri="{FF2B5EF4-FFF2-40B4-BE49-F238E27FC236}">
              <a16:creationId xmlns:a16="http://schemas.microsoft.com/office/drawing/2014/main" id="{F98DFFB6-CBC2-4409-B8CA-B83F31B22F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17820" y="277814"/>
          <a:ext cx="1894064" cy="7064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8</xdr:col>
      <xdr:colOff>238126</xdr:colOff>
      <xdr:row>32</xdr:row>
      <xdr:rowOff>63500</xdr:rowOff>
    </xdr:from>
    <xdr:to>
      <xdr:col>8</xdr:col>
      <xdr:colOff>1968500</xdr:colOff>
      <xdr:row>32</xdr:row>
      <xdr:rowOff>809626</xdr:rowOff>
    </xdr:to>
    <xdr:sp macro="" textlink="">
      <xdr:nvSpPr>
        <xdr:cNvPr id="3" name="Rounded Rectangle 6">
          <a:hlinkClick xmlns:r="http://schemas.openxmlformats.org/officeDocument/2006/relationships" r:id="rId2"/>
          <a:extLst>
            <a:ext uri="{FF2B5EF4-FFF2-40B4-BE49-F238E27FC236}">
              <a16:creationId xmlns:a16="http://schemas.microsoft.com/office/drawing/2014/main" id="{1DCBDBEF-516E-4E0D-9C87-3BD3DB4B32B1}"/>
            </a:ext>
          </a:extLst>
        </xdr:cNvPr>
        <xdr:cNvSpPr/>
      </xdr:nvSpPr>
      <xdr:spPr>
        <a:xfrm>
          <a:off x="7305676" y="16751300"/>
          <a:ext cx="1730374" cy="746126"/>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lt1"/>
              </a:solidFill>
              <a:effectLst/>
              <a:latin typeface="Arial" panose="020B0604020202020204" pitchFamily="34" charset="0"/>
              <a:ea typeface="+mn-ea"/>
              <a:cs typeface="Arial" panose="020B0604020202020204" pitchFamily="34" charset="0"/>
            </a:rPr>
            <a:t>Click </a:t>
          </a:r>
          <a:r>
            <a:rPr lang="en-GB" sz="1200" b="1" u="sng">
              <a:solidFill>
                <a:schemeClr val="lt1"/>
              </a:solidFill>
              <a:effectLst/>
              <a:latin typeface="Arial" panose="020B0604020202020204" pitchFamily="34" charset="0"/>
              <a:ea typeface="+mn-ea"/>
              <a:cs typeface="Arial" panose="020B0604020202020204" pitchFamily="34" charset="0"/>
            </a:rPr>
            <a:t>here</a:t>
          </a:r>
          <a:r>
            <a:rPr lang="en-GB" sz="1200" b="1">
              <a:solidFill>
                <a:schemeClr val="lt1"/>
              </a:solidFill>
              <a:effectLst/>
              <a:latin typeface="Arial" panose="020B0604020202020204" pitchFamily="34" charset="0"/>
              <a:ea typeface="+mn-ea"/>
              <a:cs typeface="Arial" panose="020B0604020202020204" pitchFamily="34" charset="0"/>
            </a:rPr>
            <a:t> to go to the next section</a:t>
          </a:r>
          <a:endParaRPr lang="en-GB" sz="1600">
            <a:effectLst/>
            <a:latin typeface="Arial" panose="020B0604020202020204" pitchFamily="34" charset="0"/>
            <a:cs typeface="Arial" panose="020B0604020202020204" pitchFamily="34" charset="0"/>
          </a:endParaRPr>
        </a:p>
      </xdr:txBody>
    </xdr:sp>
    <xdr:clientData/>
  </xdr:twoCellAnchor>
  <xdr:twoCellAnchor>
    <xdr:from>
      <xdr:col>8</xdr:col>
      <xdr:colOff>222250</xdr:colOff>
      <xdr:row>7</xdr:row>
      <xdr:rowOff>399507</xdr:rowOff>
    </xdr:from>
    <xdr:to>
      <xdr:col>8</xdr:col>
      <xdr:colOff>1992310</xdr:colOff>
      <xdr:row>8</xdr:row>
      <xdr:rowOff>261938</xdr:rowOff>
    </xdr:to>
    <xdr:sp macro="" textlink="">
      <xdr:nvSpPr>
        <xdr:cNvPr id="4" name="Rounded Rectangle 7">
          <a:hlinkClick xmlns:r="http://schemas.openxmlformats.org/officeDocument/2006/relationships" r:id="rId3"/>
          <a:extLst>
            <a:ext uri="{FF2B5EF4-FFF2-40B4-BE49-F238E27FC236}">
              <a16:creationId xmlns:a16="http://schemas.microsoft.com/office/drawing/2014/main" id="{6F8A0411-54FA-47A3-9B75-DE026BA16B8A}"/>
            </a:ext>
          </a:extLst>
        </xdr:cNvPr>
        <xdr:cNvSpPr/>
      </xdr:nvSpPr>
      <xdr:spPr>
        <a:xfrm>
          <a:off x="7289800" y="4257132"/>
          <a:ext cx="1770060" cy="767306"/>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bg1"/>
              </a:solidFill>
              <a:latin typeface="Arial" panose="020B0604020202020204" pitchFamily="34" charset="0"/>
              <a:cs typeface="Arial" panose="020B0604020202020204" pitchFamily="34" charset="0"/>
            </a:rPr>
            <a:t>Click </a:t>
          </a:r>
          <a:r>
            <a:rPr lang="en-GB" sz="1200" b="1" u="sng">
              <a:solidFill>
                <a:schemeClr val="bg1"/>
              </a:solidFill>
              <a:latin typeface="Arial" panose="020B0604020202020204" pitchFamily="34" charset="0"/>
              <a:cs typeface="Arial" panose="020B0604020202020204" pitchFamily="34" charset="0"/>
            </a:rPr>
            <a:t>here</a:t>
          </a:r>
          <a:r>
            <a:rPr lang="en-GB" sz="1200" b="1">
              <a:solidFill>
                <a:schemeClr val="bg1"/>
              </a:solidFill>
              <a:latin typeface="Arial" panose="020B0604020202020204" pitchFamily="34" charset="0"/>
              <a:cs typeface="Arial" panose="020B0604020202020204" pitchFamily="34" charset="0"/>
            </a:rPr>
            <a:t> to return to the Previous</a:t>
          </a:r>
          <a:r>
            <a:rPr lang="en-GB" sz="1200" b="1" baseline="0">
              <a:solidFill>
                <a:schemeClr val="bg1"/>
              </a:solidFill>
              <a:latin typeface="Arial" panose="020B0604020202020204" pitchFamily="34" charset="0"/>
              <a:cs typeface="Arial" panose="020B0604020202020204" pitchFamily="34" charset="0"/>
            </a:rPr>
            <a:t> page</a:t>
          </a:r>
          <a:endParaRPr lang="en-GB"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8</xdr:col>
      <xdr:colOff>53709</xdr:colOff>
      <xdr:row>8</xdr:row>
      <xdr:rowOff>595314</xdr:rowOff>
    </xdr:from>
    <xdr:to>
      <xdr:col>8</xdr:col>
      <xdr:colOff>2000250</xdr:colOff>
      <xdr:row>11</xdr:row>
      <xdr:rowOff>0</xdr:rowOff>
    </xdr:to>
    <xdr:sp macro="" textlink="">
      <xdr:nvSpPr>
        <xdr:cNvPr id="5" name="Explosion 1 17">
          <a:extLst>
            <a:ext uri="{FF2B5EF4-FFF2-40B4-BE49-F238E27FC236}">
              <a16:creationId xmlns:a16="http://schemas.microsoft.com/office/drawing/2014/main" id="{75B60C91-F3A0-46F8-8604-BCA904B2E4FD}"/>
            </a:ext>
          </a:extLst>
        </xdr:cNvPr>
        <xdr:cNvSpPr/>
      </xdr:nvSpPr>
      <xdr:spPr>
        <a:xfrm>
          <a:off x="7121259" y="5357814"/>
          <a:ext cx="1946541" cy="966786"/>
        </a:xfrm>
        <a:prstGeom prst="roundRect">
          <a:avLst/>
        </a:prstGeom>
        <a:solidFill>
          <a:srgbClr val="F1F17B"/>
        </a:solidFill>
        <a:ln>
          <a:solidFill>
            <a:srgbClr val="F1F1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u="none">
              <a:solidFill>
                <a:sysClr val="windowText" lastClr="000000"/>
              </a:solidFill>
              <a:latin typeface="Arial" panose="020B0604020202020204" pitchFamily="34" charset="0"/>
              <a:cs typeface="Arial" panose="020B0604020202020204" pitchFamily="34" charset="0"/>
            </a:rPr>
            <a:t>HINT</a:t>
          </a:r>
        </a:p>
        <a:p>
          <a:pPr algn="ctr"/>
          <a:r>
            <a:rPr lang="en-GB" sz="1050">
              <a:solidFill>
                <a:sysClr val="windowText" lastClr="000000"/>
              </a:solidFill>
              <a:latin typeface="Arial" panose="020B0604020202020204" pitchFamily="34" charset="0"/>
              <a:cs typeface="Arial" panose="020B0604020202020204" pitchFamily="34" charset="0"/>
            </a:rPr>
            <a:t>Where a yellow box appears, please enter your own information.</a:t>
          </a:r>
        </a:p>
      </xdr:txBody>
    </xdr:sp>
    <xdr:clientData/>
  </xdr:twoCellAnchor>
  <xdr:twoCellAnchor>
    <xdr:from>
      <xdr:col>8</xdr:col>
      <xdr:colOff>39687</xdr:colOff>
      <xdr:row>2</xdr:row>
      <xdr:rowOff>243415</xdr:rowOff>
    </xdr:from>
    <xdr:to>
      <xdr:col>8</xdr:col>
      <xdr:colOff>1984375</xdr:colOff>
      <xdr:row>5</xdr:row>
      <xdr:rowOff>587375</xdr:rowOff>
    </xdr:to>
    <xdr:sp macro="" textlink="">
      <xdr:nvSpPr>
        <xdr:cNvPr id="6" name="Rounded Rectangle 11">
          <a:extLst>
            <a:ext uri="{FF2B5EF4-FFF2-40B4-BE49-F238E27FC236}">
              <a16:creationId xmlns:a16="http://schemas.microsoft.com/office/drawing/2014/main" id="{7A8B05C8-68CF-4DB4-9EFC-4FC8EA204F8A}"/>
            </a:ext>
          </a:extLst>
        </xdr:cNvPr>
        <xdr:cNvSpPr/>
      </xdr:nvSpPr>
      <xdr:spPr>
        <a:xfrm>
          <a:off x="7107237" y="1176865"/>
          <a:ext cx="1944688" cy="2067985"/>
        </a:xfrm>
        <a:prstGeom prst="roundRect">
          <a:avLst/>
        </a:prstGeom>
        <a:solidFill>
          <a:srgbClr val="B8E08C"/>
        </a:solidFill>
        <a:ln>
          <a:solidFill>
            <a:srgbClr val="B8E08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1">
              <a:solidFill>
                <a:sysClr val="windowText" lastClr="000000"/>
              </a:solidFill>
              <a:latin typeface="Arial" panose="020B0604020202020204" pitchFamily="34" charset="0"/>
              <a:cs typeface="Arial" panose="020B0604020202020204" pitchFamily="34" charset="0"/>
            </a:rPr>
            <a:t>HINT</a:t>
          </a:r>
        </a:p>
        <a:p>
          <a:pPr algn="ctr"/>
          <a:r>
            <a:rPr lang="en-GB" sz="1000">
              <a:solidFill>
                <a:sysClr val="windowText" lastClr="000000"/>
              </a:solidFill>
              <a:latin typeface="Arial" panose="020B0604020202020204" pitchFamily="34" charset="0"/>
              <a:cs typeface="Arial" panose="020B0604020202020204" pitchFamily="34" charset="0"/>
            </a:rPr>
            <a:t>1. Click on the green box for</a:t>
          </a:r>
          <a:r>
            <a:rPr lang="en-GB" sz="1000" baseline="0">
              <a:solidFill>
                <a:sysClr val="windowText" lastClr="000000"/>
              </a:solidFill>
              <a:latin typeface="Arial" panose="020B0604020202020204" pitchFamily="34" charset="0"/>
              <a:cs typeface="Arial" panose="020B0604020202020204" pitchFamily="34" charset="0"/>
            </a:rPr>
            <a:t> an arrow to appear.</a:t>
          </a:r>
        </a:p>
        <a:p>
          <a:pPr algn="ctr"/>
          <a:r>
            <a:rPr lang="en-GB" sz="1000" baseline="0">
              <a:solidFill>
                <a:sysClr val="windowText" lastClr="000000"/>
              </a:solidFill>
              <a:latin typeface="Arial" panose="020B0604020202020204" pitchFamily="34" charset="0"/>
              <a:cs typeface="Arial" panose="020B0604020202020204" pitchFamily="34" charset="0"/>
            </a:rPr>
            <a:t> </a:t>
          </a:r>
        </a:p>
        <a:p>
          <a:pPr algn="ctr"/>
          <a:r>
            <a:rPr lang="en-GB" sz="1000" baseline="0">
              <a:solidFill>
                <a:sysClr val="windowText" lastClr="000000"/>
              </a:solidFill>
              <a:latin typeface="Arial" panose="020B0604020202020204" pitchFamily="34" charset="0"/>
              <a:cs typeface="Arial" panose="020B0604020202020204" pitchFamily="34" charset="0"/>
            </a:rPr>
            <a:t>2. Click on the arrow for a list of answers.</a:t>
          </a:r>
        </a:p>
        <a:p>
          <a:pPr algn="ctr"/>
          <a:endParaRPr lang="en-GB" sz="1000" baseline="0">
            <a:solidFill>
              <a:sysClr val="windowText" lastClr="000000"/>
            </a:solidFill>
            <a:latin typeface="Arial" panose="020B0604020202020204" pitchFamily="34" charset="0"/>
            <a:cs typeface="Arial" panose="020B0604020202020204" pitchFamily="34" charset="0"/>
          </a:endParaRPr>
        </a:p>
        <a:p>
          <a:pPr algn="ctr"/>
          <a:r>
            <a:rPr lang="en-GB" sz="1000" baseline="0">
              <a:solidFill>
                <a:sysClr val="windowText" lastClr="000000"/>
              </a:solidFill>
              <a:latin typeface="Arial" panose="020B0604020202020204" pitchFamily="34" charset="0"/>
              <a:cs typeface="Arial" panose="020B0604020202020204" pitchFamily="34" charset="0"/>
            </a:rPr>
            <a:t>3. Select the most appropriate answer from the list. You will not be able to type into the green boxes.</a:t>
          </a:r>
        </a:p>
      </xdr:txBody>
    </xdr:sp>
    <xdr:clientData/>
  </xdr:twoCellAnchor>
  <xdr:twoCellAnchor>
    <xdr:from>
      <xdr:col>8</xdr:col>
      <xdr:colOff>23812</xdr:colOff>
      <xdr:row>2</xdr:row>
      <xdr:rowOff>177366</xdr:rowOff>
    </xdr:from>
    <xdr:to>
      <xdr:col>8</xdr:col>
      <xdr:colOff>293687</xdr:colOff>
      <xdr:row>2</xdr:row>
      <xdr:rowOff>368667</xdr:rowOff>
    </xdr:to>
    <xdr:sp macro="" textlink="">
      <xdr:nvSpPr>
        <xdr:cNvPr id="7" name="Left Arrow 12">
          <a:extLst>
            <a:ext uri="{FF2B5EF4-FFF2-40B4-BE49-F238E27FC236}">
              <a16:creationId xmlns:a16="http://schemas.microsoft.com/office/drawing/2014/main" id="{D0FE2618-424C-4CCD-834B-75F22DF7397A}"/>
            </a:ext>
          </a:extLst>
        </xdr:cNvPr>
        <xdr:cNvSpPr/>
      </xdr:nvSpPr>
      <xdr:spPr>
        <a:xfrm>
          <a:off x="7091362" y="1110816"/>
          <a:ext cx="269875" cy="191301"/>
        </a:xfrm>
        <a:prstGeom prst="leftArrow">
          <a:avLst/>
        </a:prstGeom>
        <a:solidFill>
          <a:srgbClr val="B8E08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71437</xdr:colOff>
      <xdr:row>6</xdr:row>
      <xdr:rowOff>39688</xdr:rowOff>
    </xdr:from>
    <xdr:to>
      <xdr:col>8</xdr:col>
      <xdr:colOff>2000251</xdr:colOff>
      <xdr:row>7</xdr:row>
      <xdr:rowOff>333375</xdr:rowOff>
    </xdr:to>
    <xdr:sp macro="" textlink="">
      <xdr:nvSpPr>
        <xdr:cNvPr id="8" name="Rectangle: Rounded Corners 7">
          <a:extLst>
            <a:ext uri="{FF2B5EF4-FFF2-40B4-BE49-F238E27FC236}">
              <a16:creationId xmlns:a16="http://schemas.microsoft.com/office/drawing/2014/main" id="{DEEA02BD-529C-4C34-84C0-0336AFC44A7F}"/>
            </a:ext>
          </a:extLst>
        </xdr:cNvPr>
        <xdr:cNvSpPr/>
      </xdr:nvSpPr>
      <xdr:spPr>
        <a:xfrm>
          <a:off x="7138987" y="3297238"/>
          <a:ext cx="1928814" cy="893762"/>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a:solidFill>
                <a:sysClr val="windowText" lastClr="000000"/>
              </a:solidFill>
              <a:latin typeface="Arial" panose="020B0604020202020204" pitchFamily="34" charset="0"/>
              <a:cs typeface="Arial" panose="020B0604020202020204" pitchFamily="34" charset="0"/>
            </a:rPr>
            <a:t>To move to the next answer box, please use the right arrow key on your keyboard or scroll using</a:t>
          </a:r>
          <a:r>
            <a:rPr lang="en-GB" sz="1050" baseline="0">
              <a:solidFill>
                <a:sysClr val="windowText" lastClr="000000"/>
              </a:solidFill>
              <a:latin typeface="Arial" panose="020B0604020202020204" pitchFamily="34" charset="0"/>
              <a:cs typeface="Arial" panose="020B0604020202020204" pitchFamily="34" charset="0"/>
            </a:rPr>
            <a:t> the mouse.</a:t>
          </a:r>
        </a:p>
      </xdr:txBody>
    </xdr:sp>
    <xdr:clientData/>
  </xdr:twoCellAnchor>
  <xdr:oneCellAnchor>
    <xdr:from>
      <xdr:col>8</xdr:col>
      <xdr:colOff>50270</xdr:colOff>
      <xdr:row>0</xdr:row>
      <xdr:rowOff>277814</xdr:rowOff>
    </xdr:from>
    <xdr:ext cx="1894064" cy="706435"/>
    <xdr:pic>
      <xdr:nvPicPr>
        <xdr:cNvPr id="9" name="Picture 8" descr="College of Agriculture, Food and Rural Enterprise | CAFRE">
          <a:extLst>
            <a:ext uri="{FF2B5EF4-FFF2-40B4-BE49-F238E27FC236}">
              <a16:creationId xmlns:a16="http://schemas.microsoft.com/office/drawing/2014/main" id="{9B743846-C05C-4809-9E4D-6D262C4F3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17820" y="277814"/>
          <a:ext cx="1894064" cy="7064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8</xdr:col>
      <xdr:colOff>238126</xdr:colOff>
      <xdr:row>32</xdr:row>
      <xdr:rowOff>63500</xdr:rowOff>
    </xdr:from>
    <xdr:to>
      <xdr:col>8</xdr:col>
      <xdr:colOff>1968500</xdr:colOff>
      <xdr:row>32</xdr:row>
      <xdr:rowOff>809626</xdr:rowOff>
    </xdr:to>
    <xdr:sp macro="" textlink="">
      <xdr:nvSpPr>
        <xdr:cNvPr id="10" name="Rounded Rectangle 6">
          <a:hlinkClick xmlns:r="http://schemas.openxmlformats.org/officeDocument/2006/relationships" r:id="rId2"/>
          <a:extLst>
            <a:ext uri="{FF2B5EF4-FFF2-40B4-BE49-F238E27FC236}">
              <a16:creationId xmlns:a16="http://schemas.microsoft.com/office/drawing/2014/main" id="{C8D22E0D-409F-4283-A899-B3D71A7D934A}"/>
            </a:ext>
          </a:extLst>
        </xdr:cNvPr>
        <xdr:cNvSpPr/>
      </xdr:nvSpPr>
      <xdr:spPr>
        <a:xfrm>
          <a:off x="7305676" y="16751300"/>
          <a:ext cx="1730374" cy="746126"/>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lt1"/>
              </a:solidFill>
              <a:effectLst/>
              <a:latin typeface="Arial" panose="020B0604020202020204" pitchFamily="34" charset="0"/>
              <a:ea typeface="+mn-ea"/>
              <a:cs typeface="Arial" panose="020B0604020202020204" pitchFamily="34" charset="0"/>
            </a:rPr>
            <a:t>Click </a:t>
          </a:r>
          <a:r>
            <a:rPr lang="en-GB" sz="1200" b="1" u="sng">
              <a:solidFill>
                <a:schemeClr val="lt1"/>
              </a:solidFill>
              <a:effectLst/>
              <a:latin typeface="Arial" panose="020B0604020202020204" pitchFamily="34" charset="0"/>
              <a:ea typeface="+mn-ea"/>
              <a:cs typeface="Arial" panose="020B0604020202020204" pitchFamily="34" charset="0"/>
            </a:rPr>
            <a:t>here</a:t>
          </a:r>
          <a:r>
            <a:rPr lang="en-GB" sz="1200" b="1">
              <a:solidFill>
                <a:schemeClr val="lt1"/>
              </a:solidFill>
              <a:effectLst/>
              <a:latin typeface="Arial" panose="020B0604020202020204" pitchFamily="34" charset="0"/>
              <a:ea typeface="+mn-ea"/>
              <a:cs typeface="Arial" panose="020B0604020202020204" pitchFamily="34" charset="0"/>
            </a:rPr>
            <a:t> to go to the next section</a:t>
          </a:r>
          <a:endParaRPr lang="en-GB" sz="1600">
            <a:effectLst/>
            <a:latin typeface="Arial" panose="020B0604020202020204" pitchFamily="34" charset="0"/>
            <a:cs typeface="Arial" panose="020B0604020202020204" pitchFamily="34" charset="0"/>
          </a:endParaRPr>
        </a:p>
      </xdr:txBody>
    </xdr:sp>
    <xdr:clientData/>
  </xdr:twoCellAnchor>
  <xdr:twoCellAnchor>
    <xdr:from>
      <xdr:col>8</xdr:col>
      <xdr:colOff>222250</xdr:colOff>
      <xdr:row>7</xdr:row>
      <xdr:rowOff>399507</xdr:rowOff>
    </xdr:from>
    <xdr:to>
      <xdr:col>8</xdr:col>
      <xdr:colOff>1992310</xdr:colOff>
      <xdr:row>8</xdr:row>
      <xdr:rowOff>261938</xdr:rowOff>
    </xdr:to>
    <xdr:sp macro="" textlink="">
      <xdr:nvSpPr>
        <xdr:cNvPr id="11" name="Rounded Rectangle 7">
          <a:hlinkClick xmlns:r="http://schemas.openxmlformats.org/officeDocument/2006/relationships" r:id="rId3"/>
          <a:extLst>
            <a:ext uri="{FF2B5EF4-FFF2-40B4-BE49-F238E27FC236}">
              <a16:creationId xmlns:a16="http://schemas.microsoft.com/office/drawing/2014/main" id="{8B91F5A8-3E3D-4F5C-BFFF-881048D70F53}"/>
            </a:ext>
          </a:extLst>
        </xdr:cNvPr>
        <xdr:cNvSpPr/>
      </xdr:nvSpPr>
      <xdr:spPr>
        <a:xfrm>
          <a:off x="7289800" y="4257132"/>
          <a:ext cx="1770060" cy="767306"/>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bg1"/>
              </a:solidFill>
              <a:latin typeface="Arial" panose="020B0604020202020204" pitchFamily="34" charset="0"/>
              <a:cs typeface="Arial" panose="020B0604020202020204" pitchFamily="34" charset="0"/>
            </a:rPr>
            <a:t>Click </a:t>
          </a:r>
          <a:r>
            <a:rPr lang="en-GB" sz="1200" b="1" u="sng">
              <a:solidFill>
                <a:schemeClr val="bg1"/>
              </a:solidFill>
              <a:latin typeface="Arial" panose="020B0604020202020204" pitchFamily="34" charset="0"/>
              <a:cs typeface="Arial" panose="020B0604020202020204" pitchFamily="34" charset="0"/>
            </a:rPr>
            <a:t>here</a:t>
          </a:r>
          <a:r>
            <a:rPr lang="en-GB" sz="1200" b="1">
              <a:solidFill>
                <a:schemeClr val="bg1"/>
              </a:solidFill>
              <a:latin typeface="Arial" panose="020B0604020202020204" pitchFamily="34" charset="0"/>
              <a:cs typeface="Arial" panose="020B0604020202020204" pitchFamily="34" charset="0"/>
            </a:rPr>
            <a:t> to return to the Previous</a:t>
          </a:r>
          <a:r>
            <a:rPr lang="en-GB" sz="1200" b="1" baseline="0">
              <a:solidFill>
                <a:schemeClr val="bg1"/>
              </a:solidFill>
              <a:latin typeface="Arial" panose="020B0604020202020204" pitchFamily="34" charset="0"/>
              <a:cs typeface="Arial" panose="020B0604020202020204" pitchFamily="34" charset="0"/>
            </a:rPr>
            <a:t> page</a:t>
          </a:r>
          <a:endParaRPr lang="en-GB"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8</xdr:col>
      <xdr:colOff>53709</xdr:colOff>
      <xdr:row>8</xdr:row>
      <xdr:rowOff>595314</xdr:rowOff>
    </xdr:from>
    <xdr:to>
      <xdr:col>8</xdr:col>
      <xdr:colOff>2000250</xdr:colOff>
      <xdr:row>11</xdr:row>
      <xdr:rowOff>0</xdr:rowOff>
    </xdr:to>
    <xdr:sp macro="" textlink="">
      <xdr:nvSpPr>
        <xdr:cNvPr id="12" name="Explosion 1 17">
          <a:extLst>
            <a:ext uri="{FF2B5EF4-FFF2-40B4-BE49-F238E27FC236}">
              <a16:creationId xmlns:a16="http://schemas.microsoft.com/office/drawing/2014/main" id="{7F1D6B3A-EB84-40B4-8D3E-9689E611A170}"/>
            </a:ext>
          </a:extLst>
        </xdr:cNvPr>
        <xdr:cNvSpPr/>
      </xdr:nvSpPr>
      <xdr:spPr>
        <a:xfrm>
          <a:off x="7121259" y="5357814"/>
          <a:ext cx="1946541" cy="966786"/>
        </a:xfrm>
        <a:prstGeom prst="roundRect">
          <a:avLst/>
        </a:prstGeom>
        <a:solidFill>
          <a:srgbClr val="F1F17B"/>
        </a:solidFill>
        <a:ln>
          <a:solidFill>
            <a:srgbClr val="F1F1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u="none">
              <a:solidFill>
                <a:sysClr val="windowText" lastClr="000000"/>
              </a:solidFill>
              <a:latin typeface="Arial" panose="020B0604020202020204" pitchFamily="34" charset="0"/>
              <a:cs typeface="Arial" panose="020B0604020202020204" pitchFamily="34" charset="0"/>
            </a:rPr>
            <a:t>HINT</a:t>
          </a:r>
        </a:p>
        <a:p>
          <a:pPr algn="ctr"/>
          <a:r>
            <a:rPr lang="en-GB" sz="1050">
              <a:solidFill>
                <a:sysClr val="windowText" lastClr="000000"/>
              </a:solidFill>
              <a:latin typeface="Arial" panose="020B0604020202020204" pitchFamily="34" charset="0"/>
              <a:cs typeface="Arial" panose="020B0604020202020204" pitchFamily="34" charset="0"/>
            </a:rPr>
            <a:t>Where a yellow box appears, please enter your own information.</a:t>
          </a:r>
        </a:p>
      </xdr:txBody>
    </xdr:sp>
    <xdr:clientData/>
  </xdr:twoCellAnchor>
  <xdr:twoCellAnchor>
    <xdr:from>
      <xdr:col>8</xdr:col>
      <xdr:colOff>39687</xdr:colOff>
      <xdr:row>2</xdr:row>
      <xdr:rowOff>243415</xdr:rowOff>
    </xdr:from>
    <xdr:to>
      <xdr:col>8</xdr:col>
      <xdr:colOff>1984375</xdr:colOff>
      <xdr:row>5</xdr:row>
      <xdr:rowOff>587375</xdr:rowOff>
    </xdr:to>
    <xdr:sp macro="" textlink="">
      <xdr:nvSpPr>
        <xdr:cNvPr id="13" name="Rounded Rectangle 11">
          <a:extLst>
            <a:ext uri="{FF2B5EF4-FFF2-40B4-BE49-F238E27FC236}">
              <a16:creationId xmlns:a16="http://schemas.microsoft.com/office/drawing/2014/main" id="{101A656B-E686-419E-8332-EA7E45D179DD}"/>
            </a:ext>
          </a:extLst>
        </xdr:cNvPr>
        <xdr:cNvSpPr/>
      </xdr:nvSpPr>
      <xdr:spPr>
        <a:xfrm>
          <a:off x="7107237" y="1176865"/>
          <a:ext cx="1944688" cy="2067985"/>
        </a:xfrm>
        <a:prstGeom prst="roundRect">
          <a:avLst/>
        </a:prstGeom>
        <a:solidFill>
          <a:srgbClr val="B8E08C"/>
        </a:solidFill>
        <a:ln>
          <a:solidFill>
            <a:srgbClr val="B8E08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1">
              <a:solidFill>
                <a:sysClr val="windowText" lastClr="000000"/>
              </a:solidFill>
              <a:latin typeface="Arial" panose="020B0604020202020204" pitchFamily="34" charset="0"/>
              <a:cs typeface="Arial" panose="020B0604020202020204" pitchFamily="34" charset="0"/>
            </a:rPr>
            <a:t>HINT</a:t>
          </a:r>
        </a:p>
        <a:p>
          <a:pPr algn="ctr"/>
          <a:r>
            <a:rPr lang="en-GB" sz="1000">
              <a:solidFill>
                <a:sysClr val="windowText" lastClr="000000"/>
              </a:solidFill>
              <a:latin typeface="Arial" panose="020B0604020202020204" pitchFamily="34" charset="0"/>
              <a:cs typeface="Arial" panose="020B0604020202020204" pitchFamily="34" charset="0"/>
            </a:rPr>
            <a:t>1. Click on the green box for</a:t>
          </a:r>
          <a:r>
            <a:rPr lang="en-GB" sz="1000" baseline="0">
              <a:solidFill>
                <a:sysClr val="windowText" lastClr="000000"/>
              </a:solidFill>
              <a:latin typeface="Arial" panose="020B0604020202020204" pitchFamily="34" charset="0"/>
              <a:cs typeface="Arial" panose="020B0604020202020204" pitchFamily="34" charset="0"/>
            </a:rPr>
            <a:t> an arrow to appear.</a:t>
          </a:r>
        </a:p>
        <a:p>
          <a:pPr algn="ctr"/>
          <a:r>
            <a:rPr lang="en-GB" sz="1000" baseline="0">
              <a:solidFill>
                <a:sysClr val="windowText" lastClr="000000"/>
              </a:solidFill>
              <a:latin typeface="Arial" panose="020B0604020202020204" pitchFamily="34" charset="0"/>
              <a:cs typeface="Arial" panose="020B0604020202020204" pitchFamily="34" charset="0"/>
            </a:rPr>
            <a:t> </a:t>
          </a:r>
        </a:p>
        <a:p>
          <a:pPr algn="ctr"/>
          <a:r>
            <a:rPr lang="en-GB" sz="1000" baseline="0">
              <a:solidFill>
                <a:sysClr val="windowText" lastClr="000000"/>
              </a:solidFill>
              <a:latin typeface="Arial" panose="020B0604020202020204" pitchFamily="34" charset="0"/>
              <a:cs typeface="Arial" panose="020B0604020202020204" pitchFamily="34" charset="0"/>
            </a:rPr>
            <a:t>2. Click on the arrow for a list of answers.</a:t>
          </a:r>
        </a:p>
        <a:p>
          <a:pPr algn="ctr"/>
          <a:endParaRPr lang="en-GB" sz="1000" baseline="0">
            <a:solidFill>
              <a:sysClr val="windowText" lastClr="000000"/>
            </a:solidFill>
            <a:latin typeface="Arial" panose="020B0604020202020204" pitchFamily="34" charset="0"/>
            <a:cs typeface="Arial" panose="020B0604020202020204" pitchFamily="34" charset="0"/>
          </a:endParaRPr>
        </a:p>
        <a:p>
          <a:pPr algn="ctr"/>
          <a:r>
            <a:rPr lang="en-GB" sz="1000" baseline="0">
              <a:solidFill>
                <a:sysClr val="windowText" lastClr="000000"/>
              </a:solidFill>
              <a:latin typeface="Arial" panose="020B0604020202020204" pitchFamily="34" charset="0"/>
              <a:cs typeface="Arial" panose="020B0604020202020204" pitchFamily="34" charset="0"/>
            </a:rPr>
            <a:t>3. Select the most appropriate answer from the list. You will not be able to type into the green boxes.</a:t>
          </a:r>
        </a:p>
      </xdr:txBody>
    </xdr:sp>
    <xdr:clientData/>
  </xdr:twoCellAnchor>
  <xdr:twoCellAnchor>
    <xdr:from>
      <xdr:col>8</xdr:col>
      <xdr:colOff>23812</xdr:colOff>
      <xdr:row>2</xdr:row>
      <xdr:rowOff>177366</xdr:rowOff>
    </xdr:from>
    <xdr:to>
      <xdr:col>8</xdr:col>
      <xdr:colOff>293687</xdr:colOff>
      <xdr:row>2</xdr:row>
      <xdr:rowOff>368667</xdr:rowOff>
    </xdr:to>
    <xdr:sp macro="" textlink="">
      <xdr:nvSpPr>
        <xdr:cNvPr id="14" name="Left Arrow 12">
          <a:extLst>
            <a:ext uri="{FF2B5EF4-FFF2-40B4-BE49-F238E27FC236}">
              <a16:creationId xmlns:a16="http://schemas.microsoft.com/office/drawing/2014/main" id="{7C8C2E3B-98FD-46B2-B3CB-C0391300D3D1}"/>
            </a:ext>
          </a:extLst>
        </xdr:cNvPr>
        <xdr:cNvSpPr/>
      </xdr:nvSpPr>
      <xdr:spPr>
        <a:xfrm>
          <a:off x="7091362" y="1110816"/>
          <a:ext cx="269875" cy="191301"/>
        </a:xfrm>
        <a:prstGeom prst="leftArrow">
          <a:avLst/>
        </a:prstGeom>
        <a:solidFill>
          <a:srgbClr val="B8E08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71437</xdr:colOff>
      <xdr:row>6</xdr:row>
      <xdr:rowOff>39688</xdr:rowOff>
    </xdr:from>
    <xdr:to>
      <xdr:col>8</xdr:col>
      <xdr:colOff>2000251</xdr:colOff>
      <xdr:row>7</xdr:row>
      <xdr:rowOff>333375</xdr:rowOff>
    </xdr:to>
    <xdr:sp macro="" textlink="">
      <xdr:nvSpPr>
        <xdr:cNvPr id="15" name="Rectangle: Rounded Corners 14">
          <a:extLst>
            <a:ext uri="{FF2B5EF4-FFF2-40B4-BE49-F238E27FC236}">
              <a16:creationId xmlns:a16="http://schemas.microsoft.com/office/drawing/2014/main" id="{3F51987F-2B3B-48CB-8A23-2169896C36DB}"/>
            </a:ext>
          </a:extLst>
        </xdr:cNvPr>
        <xdr:cNvSpPr/>
      </xdr:nvSpPr>
      <xdr:spPr>
        <a:xfrm>
          <a:off x="7138987" y="3297238"/>
          <a:ext cx="1928814" cy="893762"/>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a:solidFill>
                <a:sysClr val="windowText" lastClr="000000"/>
              </a:solidFill>
              <a:latin typeface="Arial" panose="020B0604020202020204" pitchFamily="34" charset="0"/>
              <a:cs typeface="Arial" panose="020B0604020202020204" pitchFamily="34" charset="0"/>
            </a:rPr>
            <a:t>To move to the next answer box, please use the right arrow key on your keyboard or scroll using</a:t>
          </a:r>
          <a:r>
            <a:rPr lang="en-GB" sz="1050" baseline="0">
              <a:solidFill>
                <a:sysClr val="windowText" lastClr="000000"/>
              </a:solidFill>
              <a:latin typeface="Arial" panose="020B0604020202020204" pitchFamily="34" charset="0"/>
              <a:cs typeface="Arial" panose="020B0604020202020204" pitchFamily="34" charset="0"/>
            </a:rPr>
            <a:t> the mouse.</a:t>
          </a:r>
        </a:p>
      </xdr:txBody>
    </xdr:sp>
    <xdr:clientData/>
  </xdr:twoCellAnchor>
  <xdr:twoCellAnchor>
    <xdr:from>
      <xdr:col>8</xdr:col>
      <xdr:colOff>325437</xdr:colOff>
      <xdr:row>11</xdr:row>
      <xdr:rowOff>79375</xdr:rowOff>
    </xdr:from>
    <xdr:to>
      <xdr:col>8</xdr:col>
      <xdr:colOff>1976437</xdr:colOff>
      <xdr:row>13</xdr:row>
      <xdr:rowOff>47624</xdr:rowOff>
    </xdr:to>
    <xdr:sp macro="" textlink="">
      <xdr:nvSpPr>
        <xdr:cNvPr id="16" name="Rounded Rectangle 3">
          <a:hlinkClick xmlns:r="http://schemas.openxmlformats.org/officeDocument/2006/relationships" r:id="rId4"/>
          <a:extLst>
            <a:ext uri="{FF2B5EF4-FFF2-40B4-BE49-F238E27FC236}">
              <a16:creationId xmlns:a16="http://schemas.microsoft.com/office/drawing/2014/main" id="{68D4CC2A-E219-41B0-9831-6C06F51090B8}"/>
            </a:ext>
          </a:extLst>
        </xdr:cNvPr>
        <xdr:cNvSpPr/>
      </xdr:nvSpPr>
      <xdr:spPr>
        <a:xfrm>
          <a:off x="7397750" y="6413500"/>
          <a:ext cx="1651000" cy="952499"/>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u="sng">
              <a:solidFill>
                <a:schemeClr val="lt1"/>
              </a:solidFill>
              <a:effectLst/>
              <a:latin typeface="Arial" panose="020B0604020202020204" pitchFamily="34" charset="0"/>
              <a:ea typeface="+mn-ea"/>
              <a:cs typeface="Arial" panose="020B0604020202020204" pitchFamily="34" charset="0"/>
            </a:rPr>
            <a:t>Click here</a:t>
          </a:r>
          <a:r>
            <a:rPr lang="en-GB" sz="1100" b="1">
              <a:solidFill>
                <a:schemeClr val="lt1"/>
              </a:solidFill>
              <a:effectLst/>
              <a:latin typeface="Arial" panose="020B0604020202020204" pitchFamily="34" charset="0"/>
              <a:ea typeface="+mn-ea"/>
              <a:cs typeface="Arial" panose="020B0604020202020204" pitchFamily="34" charset="0"/>
            </a:rPr>
            <a:t> to access the </a:t>
          </a:r>
          <a:r>
            <a:rPr lang="en-GB" sz="1100" b="1" u="sng">
              <a:solidFill>
                <a:schemeClr val="lt1"/>
              </a:solidFill>
              <a:effectLst/>
              <a:latin typeface="Arial" panose="020B0604020202020204" pitchFamily="34" charset="0"/>
              <a:ea typeface="+mn-ea"/>
              <a:cs typeface="Arial" panose="020B0604020202020204" pitchFamily="34" charset="0"/>
            </a:rPr>
            <a:t>Frequently</a:t>
          </a:r>
          <a:r>
            <a:rPr lang="en-GB" sz="1100" b="1" u="sng" baseline="0">
              <a:solidFill>
                <a:schemeClr val="lt1"/>
              </a:solidFill>
              <a:effectLst/>
              <a:latin typeface="Arial" panose="020B0604020202020204" pitchFamily="34" charset="0"/>
              <a:ea typeface="+mn-ea"/>
              <a:cs typeface="Arial" panose="020B0604020202020204" pitchFamily="34" charset="0"/>
            </a:rPr>
            <a:t> Asked Questions</a:t>
          </a:r>
          <a:endParaRPr lang="en-GB" sz="1200" b="1" u="sng">
            <a:effectLst/>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283586</xdr:colOff>
      <xdr:row>49</xdr:row>
      <xdr:rowOff>336262</xdr:rowOff>
    </xdr:from>
    <xdr:to>
      <xdr:col>8</xdr:col>
      <xdr:colOff>1966335</xdr:colOff>
      <xdr:row>50</xdr:row>
      <xdr:rowOff>454361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7398761" y="25758487"/>
          <a:ext cx="1682749" cy="727699"/>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lt1"/>
              </a:solidFill>
              <a:effectLst/>
              <a:latin typeface="Arial" panose="020B0604020202020204" pitchFamily="34" charset="0"/>
              <a:ea typeface="+mn-ea"/>
              <a:cs typeface="Arial" panose="020B0604020202020204" pitchFamily="34" charset="0"/>
            </a:rPr>
            <a:t>Click </a:t>
          </a:r>
          <a:r>
            <a:rPr lang="en-GB" sz="1200" b="1" u="sng">
              <a:solidFill>
                <a:schemeClr val="lt1"/>
              </a:solidFill>
              <a:effectLst/>
              <a:latin typeface="Arial" panose="020B0604020202020204" pitchFamily="34" charset="0"/>
              <a:ea typeface="+mn-ea"/>
              <a:cs typeface="Arial" panose="020B0604020202020204" pitchFamily="34" charset="0"/>
            </a:rPr>
            <a:t>here</a:t>
          </a:r>
          <a:r>
            <a:rPr lang="en-GB" sz="1200" b="1">
              <a:solidFill>
                <a:schemeClr val="lt1"/>
              </a:solidFill>
              <a:effectLst/>
              <a:latin typeface="Arial" panose="020B0604020202020204" pitchFamily="34" charset="0"/>
              <a:ea typeface="+mn-ea"/>
              <a:cs typeface="Arial" panose="020B0604020202020204" pitchFamily="34" charset="0"/>
            </a:rPr>
            <a:t> to go to the next section</a:t>
          </a:r>
          <a:endParaRPr lang="en-GB" sz="1600">
            <a:effectLst/>
            <a:latin typeface="Arial" panose="020B0604020202020204" pitchFamily="34" charset="0"/>
            <a:cs typeface="Arial" panose="020B0604020202020204" pitchFamily="34" charset="0"/>
          </a:endParaRPr>
        </a:p>
      </xdr:txBody>
    </xdr:sp>
    <xdr:clientData/>
  </xdr:twoCellAnchor>
  <xdr:twoCellAnchor editAs="oneCell">
    <xdr:from>
      <xdr:col>8</xdr:col>
      <xdr:colOff>60855</xdr:colOff>
      <xdr:row>0</xdr:row>
      <xdr:rowOff>365126</xdr:rowOff>
    </xdr:from>
    <xdr:to>
      <xdr:col>8</xdr:col>
      <xdr:colOff>1947557</xdr:colOff>
      <xdr:row>2</xdr:row>
      <xdr:rowOff>188336</xdr:rowOff>
    </xdr:to>
    <xdr:pic>
      <xdr:nvPicPr>
        <xdr:cNvPr id="6" name="Picture 5" descr="College of Agriculture, Food and Rural Enterprise | CAFRE">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95105" y="365126"/>
          <a:ext cx="1886702" cy="706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294408</xdr:colOff>
      <xdr:row>12</xdr:row>
      <xdr:rowOff>281410</xdr:rowOff>
    </xdr:from>
    <xdr:to>
      <xdr:col>8</xdr:col>
      <xdr:colOff>1982931</xdr:colOff>
      <xdr:row>13</xdr:row>
      <xdr:rowOff>500062</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500-000005000000}"/>
            </a:ext>
          </a:extLst>
        </xdr:cNvPr>
        <xdr:cNvSpPr/>
      </xdr:nvSpPr>
      <xdr:spPr>
        <a:xfrm>
          <a:off x="7438158" y="5917035"/>
          <a:ext cx="1688523" cy="655215"/>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lt1"/>
              </a:solidFill>
              <a:effectLst/>
              <a:latin typeface="Arial" panose="020B0604020202020204" pitchFamily="34" charset="0"/>
              <a:ea typeface="+mn-ea"/>
              <a:cs typeface="Arial" panose="020B0604020202020204" pitchFamily="34" charset="0"/>
            </a:rPr>
            <a:t>Click </a:t>
          </a:r>
          <a:r>
            <a:rPr lang="en-GB" sz="1100" b="1" u="sng">
              <a:solidFill>
                <a:schemeClr val="lt1"/>
              </a:solidFill>
              <a:effectLst/>
              <a:latin typeface="Arial" panose="020B0604020202020204" pitchFamily="34" charset="0"/>
              <a:ea typeface="+mn-ea"/>
              <a:cs typeface="Arial" panose="020B0604020202020204" pitchFamily="34" charset="0"/>
            </a:rPr>
            <a:t>here</a:t>
          </a:r>
          <a:r>
            <a:rPr lang="en-GB" sz="1100" b="1">
              <a:solidFill>
                <a:schemeClr val="lt1"/>
              </a:solidFill>
              <a:effectLst/>
              <a:latin typeface="Arial" panose="020B0604020202020204" pitchFamily="34" charset="0"/>
              <a:ea typeface="+mn-ea"/>
              <a:cs typeface="Arial" panose="020B0604020202020204" pitchFamily="34" charset="0"/>
            </a:rPr>
            <a:t> to return to the Previous</a:t>
          </a:r>
          <a:r>
            <a:rPr lang="en-GB" sz="1100" b="1" baseline="0">
              <a:solidFill>
                <a:schemeClr val="lt1"/>
              </a:solidFill>
              <a:effectLst/>
              <a:latin typeface="Arial" panose="020B0604020202020204" pitchFamily="34" charset="0"/>
              <a:ea typeface="+mn-ea"/>
              <a:cs typeface="Arial" panose="020B0604020202020204" pitchFamily="34" charset="0"/>
            </a:rPr>
            <a:t> page</a:t>
          </a:r>
          <a:endParaRPr lang="en-GB" sz="1400">
            <a:effectLst/>
            <a:latin typeface="Arial" panose="020B0604020202020204" pitchFamily="34" charset="0"/>
            <a:cs typeface="Arial" panose="020B0604020202020204" pitchFamily="34" charset="0"/>
          </a:endParaRPr>
        </a:p>
      </xdr:txBody>
    </xdr:sp>
    <xdr:clientData/>
  </xdr:twoCellAnchor>
  <xdr:twoCellAnchor>
    <xdr:from>
      <xdr:col>8</xdr:col>
      <xdr:colOff>69957</xdr:colOff>
      <xdr:row>2</xdr:row>
      <xdr:rowOff>233581</xdr:rowOff>
    </xdr:from>
    <xdr:to>
      <xdr:col>8</xdr:col>
      <xdr:colOff>1992312</xdr:colOff>
      <xdr:row>6</xdr:row>
      <xdr:rowOff>269870</xdr:rowOff>
    </xdr:to>
    <xdr:sp macro="" textlink="">
      <xdr:nvSpPr>
        <xdr:cNvPr id="15" name="Rounded Rectangle 14">
          <a:extLst>
            <a:ext uri="{FF2B5EF4-FFF2-40B4-BE49-F238E27FC236}">
              <a16:creationId xmlns:a16="http://schemas.microsoft.com/office/drawing/2014/main" id="{00000000-0008-0000-0500-00000F000000}"/>
            </a:ext>
          </a:extLst>
        </xdr:cNvPr>
        <xdr:cNvSpPr/>
      </xdr:nvSpPr>
      <xdr:spPr>
        <a:xfrm>
          <a:off x="7189895" y="1090831"/>
          <a:ext cx="1922355" cy="2068289"/>
        </a:xfrm>
        <a:prstGeom prst="roundRect">
          <a:avLst/>
        </a:prstGeom>
        <a:solidFill>
          <a:srgbClr val="B8E08C"/>
        </a:solidFill>
        <a:ln>
          <a:solidFill>
            <a:srgbClr val="B8E08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1">
              <a:solidFill>
                <a:sysClr val="windowText" lastClr="000000"/>
              </a:solidFill>
              <a:latin typeface="Arial" panose="020B0604020202020204" pitchFamily="34" charset="0"/>
              <a:cs typeface="Arial" panose="020B0604020202020204" pitchFamily="34" charset="0"/>
            </a:rPr>
            <a:t>HINT</a:t>
          </a:r>
        </a:p>
        <a:p>
          <a:pPr algn="ctr"/>
          <a:r>
            <a:rPr lang="en-GB" sz="1000">
              <a:solidFill>
                <a:sysClr val="windowText" lastClr="000000"/>
              </a:solidFill>
              <a:latin typeface="Arial" panose="020B0604020202020204" pitchFamily="34" charset="0"/>
              <a:cs typeface="Arial" panose="020B0604020202020204" pitchFamily="34" charset="0"/>
            </a:rPr>
            <a:t>1. Click on the green box for</a:t>
          </a:r>
          <a:r>
            <a:rPr lang="en-GB" sz="1000" baseline="0">
              <a:solidFill>
                <a:sysClr val="windowText" lastClr="000000"/>
              </a:solidFill>
              <a:latin typeface="Arial" panose="020B0604020202020204" pitchFamily="34" charset="0"/>
              <a:cs typeface="Arial" panose="020B0604020202020204" pitchFamily="34" charset="0"/>
            </a:rPr>
            <a:t> an arrow to appear. </a:t>
          </a:r>
        </a:p>
        <a:p>
          <a:pPr algn="ctr"/>
          <a:endParaRPr lang="en-GB" sz="1000" baseline="0">
            <a:solidFill>
              <a:sysClr val="windowText" lastClr="000000"/>
            </a:solidFill>
            <a:latin typeface="Arial" panose="020B0604020202020204" pitchFamily="34" charset="0"/>
            <a:cs typeface="Arial" panose="020B0604020202020204" pitchFamily="34" charset="0"/>
          </a:endParaRPr>
        </a:p>
        <a:p>
          <a:pPr algn="ctr"/>
          <a:r>
            <a:rPr lang="en-GB" sz="1000" baseline="0">
              <a:solidFill>
                <a:sysClr val="windowText" lastClr="000000"/>
              </a:solidFill>
              <a:latin typeface="Arial" panose="020B0604020202020204" pitchFamily="34" charset="0"/>
              <a:cs typeface="Arial" panose="020B0604020202020204" pitchFamily="34" charset="0"/>
            </a:rPr>
            <a:t>2. Click on the arrow for a list of answers.</a:t>
          </a:r>
        </a:p>
        <a:p>
          <a:pPr algn="ctr"/>
          <a:endParaRPr lang="en-GB" sz="1000" baseline="0">
            <a:solidFill>
              <a:sysClr val="windowText" lastClr="000000"/>
            </a:solidFill>
            <a:latin typeface="Arial" panose="020B0604020202020204" pitchFamily="34" charset="0"/>
            <a:cs typeface="Arial" panose="020B0604020202020204" pitchFamily="34" charset="0"/>
          </a:endParaRPr>
        </a:p>
        <a:p>
          <a:pPr algn="ctr"/>
          <a:r>
            <a:rPr lang="en-GB" sz="1000" baseline="0">
              <a:solidFill>
                <a:sysClr val="windowText" lastClr="000000"/>
              </a:solidFill>
              <a:latin typeface="Arial" panose="020B0604020202020204" pitchFamily="34" charset="0"/>
              <a:cs typeface="Arial" panose="020B0604020202020204" pitchFamily="34" charset="0"/>
            </a:rPr>
            <a:t>3. Select the most appropriate answer from the list. You will not be able to type into the green boxes.</a:t>
          </a:r>
        </a:p>
      </xdr:txBody>
    </xdr:sp>
    <xdr:clientData/>
  </xdr:twoCellAnchor>
  <xdr:twoCellAnchor>
    <xdr:from>
      <xdr:col>8</xdr:col>
      <xdr:colOff>35887</xdr:colOff>
      <xdr:row>2</xdr:row>
      <xdr:rowOff>209680</xdr:rowOff>
    </xdr:from>
    <xdr:to>
      <xdr:col>8</xdr:col>
      <xdr:colOff>585530</xdr:colOff>
      <xdr:row>2</xdr:row>
      <xdr:rowOff>426239</xdr:rowOff>
    </xdr:to>
    <xdr:sp macro="" textlink="">
      <xdr:nvSpPr>
        <xdr:cNvPr id="18" name="Left Arrow 17">
          <a:extLst>
            <a:ext uri="{FF2B5EF4-FFF2-40B4-BE49-F238E27FC236}">
              <a16:creationId xmlns:a16="http://schemas.microsoft.com/office/drawing/2014/main" id="{00000000-0008-0000-0500-000012000000}"/>
            </a:ext>
          </a:extLst>
        </xdr:cNvPr>
        <xdr:cNvSpPr/>
      </xdr:nvSpPr>
      <xdr:spPr>
        <a:xfrm rot="729417">
          <a:off x="7370137" y="1035180"/>
          <a:ext cx="549643" cy="216559"/>
        </a:xfrm>
        <a:prstGeom prst="leftArrow">
          <a:avLst/>
        </a:prstGeom>
        <a:solidFill>
          <a:srgbClr val="B8E08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63503</xdr:colOff>
      <xdr:row>6</xdr:row>
      <xdr:rowOff>325438</xdr:rowOff>
    </xdr:from>
    <xdr:to>
      <xdr:col>8</xdr:col>
      <xdr:colOff>2024063</xdr:colOff>
      <xdr:row>10</xdr:row>
      <xdr:rowOff>246062</xdr:rowOff>
    </xdr:to>
    <xdr:sp macro="" textlink="">
      <xdr:nvSpPr>
        <xdr:cNvPr id="3" name="Explosion 1 17">
          <a:hlinkClick xmlns:r="http://schemas.openxmlformats.org/officeDocument/2006/relationships" r:id="rId4"/>
          <a:extLst>
            <a:ext uri="{FF2B5EF4-FFF2-40B4-BE49-F238E27FC236}">
              <a16:creationId xmlns:a16="http://schemas.microsoft.com/office/drawing/2014/main" id="{62A97DE5-C0FF-4546-80E2-71AC962B42E5}"/>
            </a:ext>
          </a:extLst>
        </xdr:cNvPr>
        <xdr:cNvSpPr/>
      </xdr:nvSpPr>
      <xdr:spPr>
        <a:xfrm>
          <a:off x="7207253" y="3238501"/>
          <a:ext cx="1960560" cy="1762124"/>
        </a:xfrm>
        <a:prstGeom prst="roundRect">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1" u="none">
              <a:solidFill>
                <a:schemeClr val="tx2">
                  <a:lumMod val="75000"/>
                </a:schemeClr>
              </a:solidFill>
              <a:latin typeface="Arial" panose="020B0604020202020204" pitchFamily="34" charset="0"/>
              <a:cs typeface="Arial" panose="020B0604020202020204" pitchFamily="34" charset="0"/>
            </a:rPr>
            <a:t>HINT:</a:t>
          </a:r>
          <a:r>
            <a:rPr lang="en-GB" sz="1000" b="1" u="none" baseline="0">
              <a:solidFill>
                <a:schemeClr val="tx2">
                  <a:lumMod val="75000"/>
                </a:schemeClr>
              </a:solidFill>
              <a:latin typeface="Arial" panose="020B0604020202020204" pitchFamily="34" charset="0"/>
              <a:cs typeface="Arial" panose="020B0604020202020204" pitchFamily="34" charset="0"/>
            </a:rPr>
            <a:t> </a:t>
          </a:r>
          <a:r>
            <a:rPr lang="en-GB" sz="1000">
              <a:solidFill>
                <a:schemeClr val="tx2">
                  <a:lumMod val="75000"/>
                </a:schemeClr>
              </a:solidFill>
              <a:latin typeface="Arial" panose="020B0604020202020204" pitchFamily="34" charset="0"/>
              <a:cs typeface="Arial" panose="020B0604020202020204" pitchFamily="34" charset="0"/>
            </a:rPr>
            <a:t>These figures have been populated from the % Habitat Score</a:t>
          </a:r>
          <a:r>
            <a:rPr lang="en-GB" sz="1000" baseline="0">
              <a:solidFill>
                <a:schemeClr val="tx2">
                  <a:lumMod val="75000"/>
                </a:schemeClr>
              </a:solidFill>
              <a:latin typeface="Arial" panose="020B0604020202020204" pitchFamily="34" charset="0"/>
              <a:cs typeface="Arial" panose="020B0604020202020204" pitchFamily="34" charset="0"/>
            </a:rPr>
            <a:t> Sheet</a:t>
          </a:r>
          <a:r>
            <a:rPr lang="en-GB" sz="1000">
              <a:solidFill>
                <a:schemeClr val="tx2">
                  <a:lumMod val="75000"/>
                </a:schemeClr>
              </a:solidFill>
              <a:latin typeface="Arial" panose="020B0604020202020204" pitchFamily="34" charset="0"/>
              <a:cs typeface="Arial" panose="020B0604020202020204" pitchFamily="34" charset="0"/>
            </a:rPr>
            <a:t>.</a:t>
          </a:r>
        </a:p>
        <a:p>
          <a:pPr algn="ctr"/>
          <a:endParaRPr lang="en-GB" sz="1000">
            <a:solidFill>
              <a:schemeClr val="tx2">
                <a:lumMod val="75000"/>
              </a:schemeClr>
            </a:solidFill>
            <a:latin typeface="Arial" panose="020B0604020202020204" pitchFamily="34" charset="0"/>
            <a:cs typeface="Arial" panose="020B0604020202020204" pitchFamily="34" charset="0"/>
          </a:endParaRPr>
        </a:p>
        <a:p>
          <a:pPr algn="ctr"/>
          <a:r>
            <a:rPr lang="en-GB" sz="1000">
              <a:solidFill>
                <a:schemeClr val="tx2">
                  <a:lumMod val="75000"/>
                </a:schemeClr>
              </a:solidFill>
              <a:latin typeface="Arial" panose="020B0604020202020204" pitchFamily="34" charset="0"/>
              <a:cs typeface="Arial" panose="020B0604020202020204" pitchFamily="34" charset="0"/>
            </a:rPr>
            <a:t>If</a:t>
          </a:r>
          <a:r>
            <a:rPr lang="en-GB" sz="1000" baseline="0">
              <a:solidFill>
                <a:schemeClr val="tx2">
                  <a:lumMod val="75000"/>
                </a:schemeClr>
              </a:solidFill>
              <a:latin typeface="Arial" panose="020B0604020202020204" pitchFamily="34" charset="0"/>
              <a:cs typeface="Arial" panose="020B0604020202020204" pitchFamily="34" charset="0"/>
            </a:rPr>
            <a:t> these figures are incorrect and you need to change them, please click </a:t>
          </a:r>
          <a:r>
            <a:rPr lang="en-GB" sz="1000" u="sng" baseline="0">
              <a:solidFill>
                <a:schemeClr val="tx2">
                  <a:lumMod val="75000"/>
                </a:schemeClr>
              </a:solidFill>
              <a:latin typeface="Arial" panose="020B0604020202020204" pitchFamily="34" charset="0"/>
              <a:cs typeface="Arial" panose="020B0604020202020204" pitchFamily="34" charset="0"/>
            </a:rPr>
            <a:t>here</a:t>
          </a:r>
          <a:r>
            <a:rPr lang="en-GB" sz="1000" u="none" baseline="0">
              <a:solidFill>
                <a:schemeClr val="tx2">
                  <a:lumMod val="75000"/>
                </a:schemeClr>
              </a:solidFill>
              <a:latin typeface="Arial" panose="020B0604020202020204" pitchFamily="34" charset="0"/>
              <a:cs typeface="Arial" panose="020B0604020202020204" pitchFamily="34" charset="0"/>
            </a:rPr>
            <a:t> to</a:t>
          </a:r>
          <a:r>
            <a:rPr lang="en-GB" sz="1000" baseline="0">
              <a:solidFill>
                <a:schemeClr val="tx2">
                  <a:lumMod val="75000"/>
                </a:schemeClr>
              </a:solidFill>
              <a:latin typeface="Arial" panose="020B0604020202020204" pitchFamily="34" charset="0"/>
              <a:cs typeface="Arial" panose="020B0604020202020204" pitchFamily="34" charset="0"/>
            </a:rPr>
            <a:t> return to the % Habitat Score sheet and amend the figures there.</a:t>
          </a:r>
          <a:endParaRPr lang="en-GB" sz="100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xdr:col>
      <xdr:colOff>1016000</xdr:colOff>
      <xdr:row>7</xdr:row>
      <xdr:rowOff>167988</xdr:rowOff>
    </xdr:from>
    <xdr:to>
      <xdr:col>8</xdr:col>
      <xdr:colOff>166687</xdr:colOff>
      <xdr:row>7</xdr:row>
      <xdr:rowOff>375405</xdr:rowOff>
    </xdr:to>
    <xdr:sp macro="" textlink="">
      <xdr:nvSpPr>
        <xdr:cNvPr id="7" name="Left Arrow 20">
          <a:extLst>
            <a:ext uri="{FF2B5EF4-FFF2-40B4-BE49-F238E27FC236}">
              <a16:creationId xmlns:a16="http://schemas.microsoft.com/office/drawing/2014/main" id="{EEE9B5E4-9DD3-4E40-AD8A-349A6338FEE8}"/>
            </a:ext>
          </a:extLst>
        </xdr:cNvPr>
        <xdr:cNvSpPr/>
      </xdr:nvSpPr>
      <xdr:spPr>
        <a:xfrm>
          <a:off x="7056438" y="3517613"/>
          <a:ext cx="230187" cy="207417"/>
        </a:xfrm>
        <a:prstGeom prst="leftArrow">
          <a:avLst/>
        </a:prstGeom>
        <a:solidFill>
          <a:schemeClr val="accent1">
            <a:lumMod val="75000"/>
          </a:schemeClr>
        </a:solidFill>
        <a:ln w="6350">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47624</xdr:colOff>
      <xdr:row>37</xdr:row>
      <xdr:rowOff>7937</xdr:rowOff>
    </xdr:from>
    <xdr:to>
      <xdr:col>8</xdr:col>
      <xdr:colOff>1952625</xdr:colOff>
      <xdr:row>39</xdr:row>
      <xdr:rowOff>0</xdr:rowOff>
    </xdr:to>
    <xdr:sp macro="" textlink="">
      <xdr:nvSpPr>
        <xdr:cNvPr id="8" name="Explosion 1 17">
          <a:extLst>
            <a:ext uri="{FF2B5EF4-FFF2-40B4-BE49-F238E27FC236}">
              <a16:creationId xmlns:a16="http://schemas.microsoft.com/office/drawing/2014/main" id="{3286868C-4559-459D-981E-A99A42F770CC}"/>
            </a:ext>
          </a:extLst>
        </xdr:cNvPr>
        <xdr:cNvSpPr/>
      </xdr:nvSpPr>
      <xdr:spPr>
        <a:xfrm>
          <a:off x="8612187" y="20510500"/>
          <a:ext cx="1905001" cy="1119188"/>
        </a:xfrm>
        <a:prstGeom prst="roundRect">
          <a:avLst/>
        </a:prstGeom>
        <a:solidFill>
          <a:srgbClr val="F1F17B"/>
        </a:solidFill>
        <a:ln>
          <a:solidFill>
            <a:srgbClr val="F1F1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1" u="none">
              <a:solidFill>
                <a:sysClr val="windowText" lastClr="000000"/>
              </a:solidFill>
              <a:latin typeface="Arial" panose="020B0604020202020204" pitchFamily="34" charset="0"/>
              <a:cs typeface="Arial" panose="020B0604020202020204" pitchFamily="34" charset="0"/>
            </a:rPr>
            <a:t>HINT</a:t>
          </a:r>
        </a:p>
        <a:p>
          <a:pPr algn="ctr"/>
          <a:r>
            <a:rPr lang="en-GB" sz="1000">
              <a:solidFill>
                <a:sysClr val="windowText" lastClr="000000"/>
              </a:solidFill>
              <a:latin typeface="Arial" panose="020B0604020202020204" pitchFamily="34" charset="0"/>
              <a:cs typeface="Arial" panose="020B0604020202020204" pitchFamily="34" charset="0"/>
            </a:rPr>
            <a:t>Where a yellow box appears, please enter your own information.</a:t>
          </a:r>
        </a:p>
      </xdr:txBody>
    </xdr:sp>
    <xdr:clientData/>
  </xdr:twoCellAnchor>
  <xdr:twoCellAnchor>
    <xdr:from>
      <xdr:col>8</xdr:col>
      <xdr:colOff>72165</xdr:colOff>
      <xdr:row>10</xdr:row>
      <xdr:rowOff>287915</xdr:rowOff>
    </xdr:from>
    <xdr:to>
      <xdr:col>8</xdr:col>
      <xdr:colOff>2000973</xdr:colOff>
      <xdr:row>12</xdr:row>
      <xdr:rowOff>219363</xdr:rowOff>
    </xdr:to>
    <xdr:sp macro="" textlink="">
      <xdr:nvSpPr>
        <xdr:cNvPr id="21" name="Rectangle: Rounded Corners 20">
          <a:extLst>
            <a:ext uri="{FF2B5EF4-FFF2-40B4-BE49-F238E27FC236}">
              <a16:creationId xmlns:a16="http://schemas.microsoft.com/office/drawing/2014/main" id="{EAD22C36-4FDC-476B-871E-D7C27F3DF115}"/>
            </a:ext>
          </a:extLst>
        </xdr:cNvPr>
        <xdr:cNvSpPr/>
      </xdr:nvSpPr>
      <xdr:spPr>
        <a:xfrm>
          <a:off x="7215915" y="5042478"/>
          <a:ext cx="1928808" cy="81251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a:solidFill>
                <a:sysClr val="windowText" lastClr="000000"/>
              </a:solidFill>
              <a:latin typeface="Arial" panose="020B0604020202020204" pitchFamily="34" charset="0"/>
              <a:cs typeface="Arial" panose="020B0604020202020204" pitchFamily="34" charset="0"/>
            </a:rPr>
            <a:t>To move to the next answer box, please use the right arrow key on your keyboard or scroll using</a:t>
          </a:r>
          <a:r>
            <a:rPr lang="en-GB" sz="1050" baseline="0">
              <a:solidFill>
                <a:sysClr val="windowText" lastClr="000000"/>
              </a:solidFill>
              <a:latin typeface="Arial" panose="020B0604020202020204" pitchFamily="34" charset="0"/>
              <a:cs typeface="Arial" panose="020B0604020202020204" pitchFamily="34" charset="0"/>
            </a:rPr>
            <a:t> the mouse.</a:t>
          </a:r>
        </a:p>
      </xdr:txBody>
    </xdr:sp>
    <xdr:clientData/>
  </xdr:twoCellAnchor>
  <xdr:twoCellAnchor>
    <xdr:from>
      <xdr:col>8</xdr:col>
      <xdr:colOff>238845</xdr:colOff>
      <xdr:row>14</xdr:row>
      <xdr:rowOff>7938</xdr:rowOff>
    </xdr:from>
    <xdr:to>
      <xdr:col>8</xdr:col>
      <xdr:colOff>1995196</xdr:colOff>
      <xdr:row>18</xdr:row>
      <xdr:rowOff>80964</xdr:rowOff>
    </xdr:to>
    <xdr:sp macro="" textlink="">
      <xdr:nvSpPr>
        <xdr:cNvPr id="2" name="Explosion 1 17">
          <a:hlinkClick xmlns:r="http://schemas.openxmlformats.org/officeDocument/2006/relationships" r:id="rId5"/>
          <a:extLst>
            <a:ext uri="{FF2B5EF4-FFF2-40B4-BE49-F238E27FC236}">
              <a16:creationId xmlns:a16="http://schemas.microsoft.com/office/drawing/2014/main" id="{B91BA78A-E361-4A39-A18E-8ED811CCAC88}"/>
            </a:ext>
          </a:extLst>
        </xdr:cNvPr>
        <xdr:cNvSpPr/>
      </xdr:nvSpPr>
      <xdr:spPr>
        <a:xfrm>
          <a:off x="7382595" y="6611938"/>
          <a:ext cx="1756351" cy="2073276"/>
        </a:xfrm>
        <a:prstGeom prst="roundRect">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1" u="none">
              <a:solidFill>
                <a:schemeClr val="tx2">
                  <a:lumMod val="75000"/>
                </a:schemeClr>
              </a:solidFill>
              <a:latin typeface="Arial" panose="020B0604020202020204" pitchFamily="34" charset="0"/>
              <a:cs typeface="Arial" panose="020B0604020202020204" pitchFamily="34" charset="0"/>
            </a:rPr>
            <a:t>HINT:</a:t>
          </a:r>
          <a:r>
            <a:rPr lang="en-GB" sz="1000" b="1" u="none" baseline="0">
              <a:solidFill>
                <a:schemeClr val="tx2">
                  <a:lumMod val="75000"/>
                </a:schemeClr>
              </a:solidFill>
              <a:latin typeface="Arial" panose="020B0604020202020204" pitchFamily="34" charset="0"/>
              <a:cs typeface="Arial" panose="020B0604020202020204" pitchFamily="34" charset="0"/>
            </a:rPr>
            <a:t> </a:t>
          </a:r>
          <a:r>
            <a:rPr lang="en-GB" sz="1000">
              <a:solidFill>
                <a:schemeClr val="tx2">
                  <a:lumMod val="75000"/>
                </a:schemeClr>
              </a:solidFill>
              <a:latin typeface="Arial" panose="020B0604020202020204" pitchFamily="34" charset="0"/>
              <a:cs typeface="Arial" panose="020B0604020202020204" pitchFamily="34" charset="0"/>
            </a:rPr>
            <a:t>These figures have been populated from the % Habitat Score</a:t>
          </a:r>
          <a:r>
            <a:rPr lang="en-GB" sz="1000" baseline="0">
              <a:solidFill>
                <a:schemeClr val="tx2">
                  <a:lumMod val="75000"/>
                </a:schemeClr>
              </a:solidFill>
              <a:latin typeface="Arial" panose="020B0604020202020204" pitchFamily="34" charset="0"/>
              <a:cs typeface="Arial" panose="020B0604020202020204" pitchFamily="34" charset="0"/>
            </a:rPr>
            <a:t> Sheet</a:t>
          </a:r>
          <a:r>
            <a:rPr lang="en-GB" sz="1000">
              <a:solidFill>
                <a:schemeClr val="tx2">
                  <a:lumMod val="75000"/>
                </a:schemeClr>
              </a:solidFill>
              <a:latin typeface="Arial" panose="020B0604020202020204" pitchFamily="34" charset="0"/>
              <a:cs typeface="Arial" panose="020B0604020202020204" pitchFamily="34" charset="0"/>
            </a:rPr>
            <a:t>.</a:t>
          </a:r>
        </a:p>
        <a:p>
          <a:pPr algn="ctr"/>
          <a:endParaRPr lang="en-GB" sz="1000">
            <a:solidFill>
              <a:schemeClr val="tx2">
                <a:lumMod val="75000"/>
              </a:schemeClr>
            </a:solidFill>
            <a:latin typeface="Arial" panose="020B0604020202020204" pitchFamily="34" charset="0"/>
            <a:cs typeface="Arial" panose="020B0604020202020204" pitchFamily="34" charset="0"/>
          </a:endParaRPr>
        </a:p>
        <a:p>
          <a:pPr algn="ctr"/>
          <a:r>
            <a:rPr lang="en-GB" sz="1000">
              <a:solidFill>
                <a:schemeClr val="tx2">
                  <a:lumMod val="75000"/>
                </a:schemeClr>
              </a:solidFill>
              <a:latin typeface="Arial" panose="020B0604020202020204" pitchFamily="34" charset="0"/>
              <a:cs typeface="Arial" panose="020B0604020202020204" pitchFamily="34" charset="0"/>
            </a:rPr>
            <a:t>If</a:t>
          </a:r>
          <a:r>
            <a:rPr lang="en-GB" sz="1000" baseline="0">
              <a:solidFill>
                <a:schemeClr val="tx2">
                  <a:lumMod val="75000"/>
                </a:schemeClr>
              </a:solidFill>
              <a:latin typeface="Arial" panose="020B0604020202020204" pitchFamily="34" charset="0"/>
              <a:cs typeface="Arial" panose="020B0604020202020204" pitchFamily="34" charset="0"/>
            </a:rPr>
            <a:t> these figures are incorrect and you need to change them, please click </a:t>
          </a:r>
          <a:r>
            <a:rPr lang="en-GB" sz="1000" u="sng" baseline="0">
              <a:solidFill>
                <a:schemeClr val="tx2">
                  <a:lumMod val="75000"/>
                </a:schemeClr>
              </a:solidFill>
              <a:latin typeface="Arial" panose="020B0604020202020204" pitchFamily="34" charset="0"/>
              <a:cs typeface="Arial" panose="020B0604020202020204" pitchFamily="34" charset="0"/>
            </a:rPr>
            <a:t>here</a:t>
          </a:r>
          <a:r>
            <a:rPr lang="en-GB" sz="1000" u="none" baseline="0">
              <a:solidFill>
                <a:schemeClr val="tx2">
                  <a:lumMod val="75000"/>
                </a:schemeClr>
              </a:solidFill>
              <a:latin typeface="Arial" panose="020B0604020202020204" pitchFamily="34" charset="0"/>
              <a:cs typeface="Arial" panose="020B0604020202020204" pitchFamily="34" charset="0"/>
            </a:rPr>
            <a:t> to</a:t>
          </a:r>
          <a:r>
            <a:rPr lang="en-GB" sz="1000" baseline="0">
              <a:solidFill>
                <a:schemeClr val="tx2">
                  <a:lumMod val="75000"/>
                </a:schemeClr>
              </a:solidFill>
              <a:latin typeface="Arial" panose="020B0604020202020204" pitchFamily="34" charset="0"/>
              <a:cs typeface="Arial" panose="020B0604020202020204" pitchFamily="34" charset="0"/>
            </a:rPr>
            <a:t> return to the % Habitat Score sheet and amend the figures there.</a:t>
          </a:r>
          <a:endParaRPr lang="en-GB" sz="100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5</xdr:col>
      <xdr:colOff>0</xdr:colOff>
      <xdr:row>14</xdr:row>
      <xdr:rowOff>155722</xdr:rowOff>
    </xdr:from>
    <xdr:to>
      <xdr:col>8</xdr:col>
      <xdr:colOff>230187</xdr:colOff>
      <xdr:row>14</xdr:row>
      <xdr:rowOff>358087</xdr:rowOff>
    </xdr:to>
    <xdr:sp macro="" textlink="">
      <xdr:nvSpPr>
        <xdr:cNvPr id="9" name="Left Arrow 20">
          <a:extLst>
            <a:ext uri="{FF2B5EF4-FFF2-40B4-BE49-F238E27FC236}">
              <a16:creationId xmlns:a16="http://schemas.microsoft.com/office/drawing/2014/main" id="{5B7B32BA-D985-4E93-9051-4D7B50108C94}"/>
            </a:ext>
          </a:extLst>
        </xdr:cNvPr>
        <xdr:cNvSpPr/>
      </xdr:nvSpPr>
      <xdr:spPr>
        <a:xfrm>
          <a:off x="7143750" y="6759722"/>
          <a:ext cx="230187" cy="202365"/>
        </a:xfrm>
        <a:prstGeom prst="leftArrow">
          <a:avLst/>
        </a:prstGeom>
        <a:solidFill>
          <a:schemeClr val="accent1">
            <a:lumMod val="75000"/>
          </a:schemeClr>
        </a:solidFill>
        <a:ln w="6350">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76200</xdr:colOff>
      <xdr:row>25</xdr:row>
      <xdr:rowOff>0</xdr:rowOff>
    </xdr:from>
    <xdr:to>
      <xdr:col>8</xdr:col>
      <xdr:colOff>1961278</xdr:colOff>
      <xdr:row>28</xdr:row>
      <xdr:rowOff>552449</xdr:rowOff>
    </xdr:to>
    <xdr:sp macro="" textlink="">
      <xdr:nvSpPr>
        <xdr:cNvPr id="10" name="Explosion 1 17">
          <a:hlinkClick xmlns:r="http://schemas.openxmlformats.org/officeDocument/2006/relationships" r:id="rId6"/>
          <a:extLst>
            <a:ext uri="{FF2B5EF4-FFF2-40B4-BE49-F238E27FC236}">
              <a16:creationId xmlns:a16="http://schemas.microsoft.com/office/drawing/2014/main" id="{5D266F83-F00A-43DC-82DD-9ECCEB62AA15}"/>
            </a:ext>
          </a:extLst>
        </xdr:cNvPr>
        <xdr:cNvSpPr/>
      </xdr:nvSpPr>
      <xdr:spPr>
        <a:xfrm>
          <a:off x="7219950" y="12358688"/>
          <a:ext cx="1885078" cy="1973261"/>
        </a:xfrm>
        <a:prstGeom prst="roundRect">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1" u="none">
              <a:solidFill>
                <a:schemeClr val="tx2">
                  <a:lumMod val="75000"/>
                </a:schemeClr>
              </a:solidFill>
              <a:latin typeface="Arial" panose="020B0604020202020204" pitchFamily="34" charset="0"/>
              <a:cs typeface="Arial" panose="020B0604020202020204" pitchFamily="34" charset="0"/>
            </a:rPr>
            <a:t>HINT:</a:t>
          </a:r>
          <a:r>
            <a:rPr lang="en-GB" sz="1000" b="1" u="none" baseline="0">
              <a:solidFill>
                <a:schemeClr val="tx2">
                  <a:lumMod val="75000"/>
                </a:schemeClr>
              </a:solidFill>
              <a:latin typeface="Arial" panose="020B0604020202020204" pitchFamily="34" charset="0"/>
              <a:cs typeface="Arial" panose="020B0604020202020204" pitchFamily="34" charset="0"/>
            </a:rPr>
            <a:t> </a:t>
          </a:r>
          <a:r>
            <a:rPr lang="en-GB" sz="1000">
              <a:solidFill>
                <a:schemeClr val="tx2">
                  <a:lumMod val="75000"/>
                </a:schemeClr>
              </a:solidFill>
              <a:latin typeface="Arial" panose="020B0604020202020204" pitchFamily="34" charset="0"/>
              <a:cs typeface="Arial" panose="020B0604020202020204" pitchFamily="34" charset="0"/>
            </a:rPr>
            <a:t>These figures have been populated from the % Habitat Score</a:t>
          </a:r>
          <a:r>
            <a:rPr lang="en-GB" sz="1000" baseline="0">
              <a:solidFill>
                <a:schemeClr val="tx2">
                  <a:lumMod val="75000"/>
                </a:schemeClr>
              </a:solidFill>
              <a:latin typeface="Arial" panose="020B0604020202020204" pitchFamily="34" charset="0"/>
              <a:cs typeface="Arial" panose="020B0604020202020204" pitchFamily="34" charset="0"/>
            </a:rPr>
            <a:t> Sheet</a:t>
          </a:r>
          <a:r>
            <a:rPr lang="en-GB" sz="1000">
              <a:solidFill>
                <a:schemeClr val="tx2">
                  <a:lumMod val="75000"/>
                </a:schemeClr>
              </a:solidFill>
              <a:latin typeface="Arial" panose="020B0604020202020204" pitchFamily="34" charset="0"/>
              <a:cs typeface="Arial" panose="020B0604020202020204" pitchFamily="34" charset="0"/>
            </a:rPr>
            <a:t>.</a:t>
          </a:r>
        </a:p>
        <a:p>
          <a:pPr algn="ctr"/>
          <a:endParaRPr lang="en-GB" sz="1000">
            <a:solidFill>
              <a:schemeClr val="tx2">
                <a:lumMod val="75000"/>
              </a:schemeClr>
            </a:solidFill>
            <a:latin typeface="Arial" panose="020B0604020202020204" pitchFamily="34" charset="0"/>
            <a:cs typeface="Arial" panose="020B0604020202020204" pitchFamily="34" charset="0"/>
          </a:endParaRPr>
        </a:p>
        <a:p>
          <a:pPr algn="ctr"/>
          <a:r>
            <a:rPr lang="en-GB" sz="1000">
              <a:solidFill>
                <a:schemeClr val="tx2">
                  <a:lumMod val="75000"/>
                </a:schemeClr>
              </a:solidFill>
              <a:latin typeface="Arial" panose="020B0604020202020204" pitchFamily="34" charset="0"/>
              <a:cs typeface="Arial" panose="020B0604020202020204" pitchFamily="34" charset="0"/>
            </a:rPr>
            <a:t>If</a:t>
          </a:r>
          <a:r>
            <a:rPr lang="en-GB" sz="1000" baseline="0">
              <a:solidFill>
                <a:schemeClr val="tx2">
                  <a:lumMod val="75000"/>
                </a:schemeClr>
              </a:solidFill>
              <a:latin typeface="Arial" panose="020B0604020202020204" pitchFamily="34" charset="0"/>
              <a:cs typeface="Arial" panose="020B0604020202020204" pitchFamily="34" charset="0"/>
            </a:rPr>
            <a:t> these figures are incorrect and you need to change them, please click </a:t>
          </a:r>
          <a:r>
            <a:rPr lang="en-GB" sz="1000" u="sng" baseline="0">
              <a:solidFill>
                <a:schemeClr val="tx2">
                  <a:lumMod val="75000"/>
                </a:schemeClr>
              </a:solidFill>
              <a:latin typeface="Arial" panose="020B0604020202020204" pitchFamily="34" charset="0"/>
              <a:cs typeface="Arial" panose="020B0604020202020204" pitchFamily="34" charset="0"/>
            </a:rPr>
            <a:t>here</a:t>
          </a:r>
          <a:r>
            <a:rPr lang="en-GB" sz="1000" u="none" baseline="0">
              <a:solidFill>
                <a:schemeClr val="tx2">
                  <a:lumMod val="75000"/>
                </a:schemeClr>
              </a:solidFill>
              <a:latin typeface="Arial" panose="020B0604020202020204" pitchFamily="34" charset="0"/>
              <a:cs typeface="Arial" panose="020B0604020202020204" pitchFamily="34" charset="0"/>
            </a:rPr>
            <a:t> to</a:t>
          </a:r>
          <a:r>
            <a:rPr lang="en-GB" sz="1000" baseline="0">
              <a:solidFill>
                <a:schemeClr val="tx2">
                  <a:lumMod val="75000"/>
                </a:schemeClr>
              </a:solidFill>
              <a:latin typeface="Arial" panose="020B0604020202020204" pitchFamily="34" charset="0"/>
              <a:cs typeface="Arial" panose="020B0604020202020204" pitchFamily="34" charset="0"/>
            </a:rPr>
            <a:t> return to the % Habitat Score sheet and amend the figures there.</a:t>
          </a:r>
          <a:endParaRPr lang="en-GB" sz="100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5</xdr:col>
      <xdr:colOff>0</xdr:colOff>
      <xdr:row>26</xdr:row>
      <xdr:rowOff>198150</xdr:rowOff>
    </xdr:from>
    <xdr:to>
      <xdr:col>8</xdr:col>
      <xdr:colOff>230187</xdr:colOff>
      <xdr:row>26</xdr:row>
      <xdr:rowOff>405567</xdr:rowOff>
    </xdr:to>
    <xdr:sp macro="" textlink="">
      <xdr:nvSpPr>
        <xdr:cNvPr id="11" name="Left Arrow 20">
          <a:extLst>
            <a:ext uri="{FF2B5EF4-FFF2-40B4-BE49-F238E27FC236}">
              <a16:creationId xmlns:a16="http://schemas.microsoft.com/office/drawing/2014/main" id="{BF51A5BE-C2A5-44C9-A10F-2131623334D4}"/>
            </a:ext>
          </a:extLst>
        </xdr:cNvPr>
        <xdr:cNvSpPr/>
      </xdr:nvSpPr>
      <xdr:spPr>
        <a:xfrm>
          <a:off x="7143750" y="13025150"/>
          <a:ext cx="230187" cy="207417"/>
        </a:xfrm>
        <a:prstGeom prst="leftArrow">
          <a:avLst/>
        </a:prstGeom>
        <a:solidFill>
          <a:schemeClr val="accent1">
            <a:lumMod val="75000"/>
          </a:schemeClr>
        </a:solidFill>
        <a:ln w="6350">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104776</xdr:colOff>
      <xdr:row>42</xdr:row>
      <xdr:rowOff>0</xdr:rowOff>
    </xdr:from>
    <xdr:to>
      <xdr:col>8</xdr:col>
      <xdr:colOff>1962144</xdr:colOff>
      <xdr:row>46</xdr:row>
      <xdr:rowOff>44449</xdr:rowOff>
    </xdr:to>
    <xdr:sp macro="" textlink="">
      <xdr:nvSpPr>
        <xdr:cNvPr id="12" name="Explosion 1 17">
          <a:hlinkClick xmlns:r="http://schemas.openxmlformats.org/officeDocument/2006/relationships" r:id="rId7"/>
          <a:extLst>
            <a:ext uri="{FF2B5EF4-FFF2-40B4-BE49-F238E27FC236}">
              <a16:creationId xmlns:a16="http://schemas.microsoft.com/office/drawing/2014/main" id="{456AB187-9C0B-4E9B-AA99-30E5E8025F79}"/>
            </a:ext>
          </a:extLst>
        </xdr:cNvPr>
        <xdr:cNvSpPr/>
      </xdr:nvSpPr>
      <xdr:spPr>
        <a:xfrm>
          <a:off x="7248526" y="21320125"/>
          <a:ext cx="1857368" cy="1957387"/>
        </a:xfrm>
        <a:prstGeom prst="roundRect">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1" u="none">
              <a:solidFill>
                <a:schemeClr val="tx2">
                  <a:lumMod val="75000"/>
                </a:schemeClr>
              </a:solidFill>
              <a:latin typeface="Arial" panose="020B0604020202020204" pitchFamily="34" charset="0"/>
              <a:cs typeface="Arial" panose="020B0604020202020204" pitchFamily="34" charset="0"/>
            </a:rPr>
            <a:t>HINT:</a:t>
          </a:r>
          <a:r>
            <a:rPr lang="en-GB" sz="1000" b="1" u="none" baseline="0">
              <a:solidFill>
                <a:schemeClr val="tx2">
                  <a:lumMod val="75000"/>
                </a:schemeClr>
              </a:solidFill>
              <a:latin typeface="Arial" panose="020B0604020202020204" pitchFamily="34" charset="0"/>
              <a:cs typeface="Arial" panose="020B0604020202020204" pitchFamily="34" charset="0"/>
            </a:rPr>
            <a:t> </a:t>
          </a:r>
          <a:r>
            <a:rPr lang="en-GB" sz="1000">
              <a:solidFill>
                <a:schemeClr val="tx2">
                  <a:lumMod val="75000"/>
                </a:schemeClr>
              </a:solidFill>
              <a:latin typeface="Arial" panose="020B0604020202020204" pitchFamily="34" charset="0"/>
              <a:cs typeface="Arial" panose="020B0604020202020204" pitchFamily="34" charset="0"/>
            </a:rPr>
            <a:t>These figures have been populated from the % Habitat Score</a:t>
          </a:r>
          <a:r>
            <a:rPr lang="en-GB" sz="1000" baseline="0">
              <a:solidFill>
                <a:schemeClr val="tx2">
                  <a:lumMod val="75000"/>
                </a:schemeClr>
              </a:solidFill>
              <a:latin typeface="Arial" panose="020B0604020202020204" pitchFamily="34" charset="0"/>
              <a:cs typeface="Arial" panose="020B0604020202020204" pitchFamily="34" charset="0"/>
            </a:rPr>
            <a:t> Sheet</a:t>
          </a:r>
          <a:r>
            <a:rPr lang="en-GB" sz="1000">
              <a:solidFill>
                <a:schemeClr val="tx2">
                  <a:lumMod val="75000"/>
                </a:schemeClr>
              </a:solidFill>
              <a:latin typeface="Arial" panose="020B0604020202020204" pitchFamily="34" charset="0"/>
              <a:cs typeface="Arial" panose="020B0604020202020204" pitchFamily="34" charset="0"/>
            </a:rPr>
            <a:t>.</a:t>
          </a:r>
        </a:p>
        <a:p>
          <a:pPr algn="ctr"/>
          <a:endParaRPr lang="en-GB" sz="1000">
            <a:solidFill>
              <a:schemeClr val="tx2">
                <a:lumMod val="75000"/>
              </a:schemeClr>
            </a:solidFill>
            <a:latin typeface="Arial" panose="020B0604020202020204" pitchFamily="34" charset="0"/>
            <a:cs typeface="Arial" panose="020B0604020202020204" pitchFamily="34" charset="0"/>
          </a:endParaRPr>
        </a:p>
        <a:p>
          <a:pPr algn="ctr"/>
          <a:r>
            <a:rPr lang="en-GB" sz="1000">
              <a:solidFill>
                <a:schemeClr val="tx2">
                  <a:lumMod val="75000"/>
                </a:schemeClr>
              </a:solidFill>
              <a:latin typeface="Arial" panose="020B0604020202020204" pitchFamily="34" charset="0"/>
              <a:cs typeface="Arial" panose="020B0604020202020204" pitchFamily="34" charset="0"/>
            </a:rPr>
            <a:t>If</a:t>
          </a:r>
          <a:r>
            <a:rPr lang="en-GB" sz="1000" baseline="0">
              <a:solidFill>
                <a:schemeClr val="tx2">
                  <a:lumMod val="75000"/>
                </a:schemeClr>
              </a:solidFill>
              <a:latin typeface="Arial" panose="020B0604020202020204" pitchFamily="34" charset="0"/>
              <a:cs typeface="Arial" panose="020B0604020202020204" pitchFamily="34" charset="0"/>
            </a:rPr>
            <a:t> these figures are incorrect and you need to change them, please click </a:t>
          </a:r>
          <a:r>
            <a:rPr lang="en-GB" sz="1000" u="sng" baseline="0">
              <a:solidFill>
                <a:schemeClr val="tx2">
                  <a:lumMod val="75000"/>
                </a:schemeClr>
              </a:solidFill>
              <a:latin typeface="Arial" panose="020B0604020202020204" pitchFamily="34" charset="0"/>
              <a:cs typeface="Arial" panose="020B0604020202020204" pitchFamily="34" charset="0"/>
            </a:rPr>
            <a:t>here</a:t>
          </a:r>
          <a:r>
            <a:rPr lang="en-GB" sz="1000" u="none" baseline="0">
              <a:solidFill>
                <a:schemeClr val="tx2">
                  <a:lumMod val="75000"/>
                </a:schemeClr>
              </a:solidFill>
              <a:latin typeface="Arial" panose="020B0604020202020204" pitchFamily="34" charset="0"/>
              <a:cs typeface="Arial" panose="020B0604020202020204" pitchFamily="34" charset="0"/>
            </a:rPr>
            <a:t> to</a:t>
          </a:r>
          <a:r>
            <a:rPr lang="en-GB" sz="1000" baseline="0">
              <a:solidFill>
                <a:schemeClr val="tx2">
                  <a:lumMod val="75000"/>
                </a:schemeClr>
              </a:solidFill>
              <a:latin typeface="Arial" panose="020B0604020202020204" pitchFamily="34" charset="0"/>
              <a:cs typeface="Arial" panose="020B0604020202020204" pitchFamily="34" charset="0"/>
            </a:rPr>
            <a:t> return to the % Habitat Score sheet and amend the figures there.</a:t>
          </a:r>
          <a:endParaRPr lang="en-GB" sz="100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5</xdr:col>
      <xdr:colOff>0</xdr:colOff>
      <xdr:row>43</xdr:row>
      <xdr:rowOff>298162</xdr:rowOff>
    </xdr:from>
    <xdr:to>
      <xdr:col>8</xdr:col>
      <xdr:colOff>230187</xdr:colOff>
      <xdr:row>44</xdr:row>
      <xdr:rowOff>69016</xdr:rowOff>
    </xdr:to>
    <xdr:sp macro="" textlink="">
      <xdr:nvSpPr>
        <xdr:cNvPr id="13" name="Left Arrow 20">
          <a:extLst>
            <a:ext uri="{FF2B5EF4-FFF2-40B4-BE49-F238E27FC236}">
              <a16:creationId xmlns:a16="http://schemas.microsoft.com/office/drawing/2014/main" id="{93F17A68-9F0E-448C-A3FE-6DC61BEF9DC0}"/>
            </a:ext>
          </a:extLst>
        </xdr:cNvPr>
        <xdr:cNvSpPr/>
      </xdr:nvSpPr>
      <xdr:spPr>
        <a:xfrm>
          <a:off x="7143750" y="22031037"/>
          <a:ext cx="230187" cy="207417"/>
        </a:xfrm>
        <a:prstGeom prst="leftArrow">
          <a:avLst/>
        </a:prstGeom>
        <a:solidFill>
          <a:schemeClr val="accent1">
            <a:lumMod val="75000"/>
          </a:schemeClr>
        </a:solidFill>
        <a:ln w="6350">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333374</xdr:colOff>
      <xdr:row>18</xdr:row>
      <xdr:rowOff>174626</xdr:rowOff>
    </xdr:from>
    <xdr:to>
      <xdr:col>8</xdr:col>
      <xdr:colOff>1984374</xdr:colOff>
      <xdr:row>20</xdr:row>
      <xdr:rowOff>79375</xdr:rowOff>
    </xdr:to>
    <xdr:sp macro="" textlink="">
      <xdr:nvSpPr>
        <xdr:cNvPr id="14" name="Rounded Rectangle 3">
          <a:hlinkClick xmlns:r="http://schemas.openxmlformats.org/officeDocument/2006/relationships" r:id="rId8"/>
          <a:extLst>
            <a:ext uri="{FF2B5EF4-FFF2-40B4-BE49-F238E27FC236}">
              <a16:creationId xmlns:a16="http://schemas.microsoft.com/office/drawing/2014/main" id="{DD46B0EF-A7CD-4AAD-8882-A57891F224B2}"/>
            </a:ext>
          </a:extLst>
        </xdr:cNvPr>
        <xdr:cNvSpPr/>
      </xdr:nvSpPr>
      <xdr:spPr>
        <a:xfrm>
          <a:off x="7477124" y="8778876"/>
          <a:ext cx="1651000" cy="952499"/>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u="sng">
              <a:solidFill>
                <a:schemeClr val="lt1"/>
              </a:solidFill>
              <a:effectLst/>
              <a:latin typeface="Arial" panose="020B0604020202020204" pitchFamily="34" charset="0"/>
              <a:ea typeface="+mn-ea"/>
              <a:cs typeface="Arial" panose="020B0604020202020204" pitchFamily="34" charset="0"/>
            </a:rPr>
            <a:t>Click here</a:t>
          </a:r>
          <a:r>
            <a:rPr lang="en-GB" sz="1100" b="1">
              <a:solidFill>
                <a:schemeClr val="lt1"/>
              </a:solidFill>
              <a:effectLst/>
              <a:latin typeface="Arial" panose="020B0604020202020204" pitchFamily="34" charset="0"/>
              <a:ea typeface="+mn-ea"/>
              <a:cs typeface="Arial" panose="020B0604020202020204" pitchFamily="34" charset="0"/>
            </a:rPr>
            <a:t> to access the </a:t>
          </a:r>
          <a:r>
            <a:rPr lang="en-GB" sz="1100" b="1" u="sng">
              <a:solidFill>
                <a:schemeClr val="lt1"/>
              </a:solidFill>
              <a:effectLst/>
              <a:latin typeface="Arial" panose="020B0604020202020204" pitchFamily="34" charset="0"/>
              <a:ea typeface="+mn-ea"/>
              <a:cs typeface="Arial" panose="020B0604020202020204" pitchFamily="34" charset="0"/>
            </a:rPr>
            <a:t>Frequently</a:t>
          </a:r>
          <a:r>
            <a:rPr lang="en-GB" sz="1100" b="1" u="sng" baseline="0">
              <a:solidFill>
                <a:schemeClr val="lt1"/>
              </a:solidFill>
              <a:effectLst/>
              <a:latin typeface="Arial" panose="020B0604020202020204" pitchFamily="34" charset="0"/>
              <a:ea typeface="+mn-ea"/>
              <a:cs typeface="Arial" panose="020B0604020202020204" pitchFamily="34" charset="0"/>
            </a:rPr>
            <a:t> Asked Questions</a:t>
          </a:r>
          <a:endParaRPr lang="en-GB" sz="1200" b="1" u="sng">
            <a:effectLst/>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325437</xdr:colOff>
      <xdr:row>23</xdr:row>
      <xdr:rowOff>476250</xdr:rowOff>
    </xdr:from>
    <xdr:to>
      <xdr:col>8</xdr:col>
      <xdr:colOff>1992313</xdr:colOff>
      <xdr:row>26</xdr:row>
      <xdr:rowOff>7939</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7445375" y="11422063"/>
          <a:ext cx="1666876" cy="730251"/>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200" b="1">
              <a:solidFill>
                <a:schemeClr val="lt1"/>
              </a:solidFill>
              <a:effectLst/>
              <a:latin typeface="Arial" panose="020B0604020202020204" pitchFamily="34" charset="0"/>
              <a:ea typeface="+mn-ea"/>
              <a:cs typeface="Arial" panose="020B0604020202020204" pitchFamily="34" charset="0"/>
            </a:rPr>
            <a:t>Click </a:t>
          </a:r>
          <a:r>
            <a:rPr lang="en-GB" sz="1200" b="1" u="sng">
              <a:solidFill>
                <a:schemeClr val="lt1"/>
              </a:solidFill>
              <a:effectLst/>
              <a:latin typeface="Arial" panose="020B0604020202020204" pitchFamily="34" charset="0"/>
              <a:ea typeface="+mn-ea"/>
              <a:cs typeface="Arial" panose="020B0604020202020204" pitchFamily="34" charset="0"/>
            </a:rPr>
            <a:t>here</a:t>
          </a:r>
          <a:r>
            <a:rPr lang="en-GB" sz="1200" b="1">
              <a:solidFill>
                <a:schemeClr val="lt1"/>
              </a:solidFill>
              <a:effectLst/>
              <a:latin typeface="Arial" panose="020B0604020202020204" pitchFamily="34" charset="0"/>
              <a:ea typeface="+mn-ea"/>
              <a:cs typeface="Arial" panose="020B0604020202020204" pitchFamily="34" charset="0"/>
            </a:rPr>
            <a:t> to go to the </a:t>
          </a:r>
          <a:r>
            <a:rPr lang="en-GB" sz="1200" b="1">
              <a:solidFill>
                <a:schemeClr val="bg1"/>
              </a:solidFill>
              <a:latin typeface="Arial" panose="020B0604020202020204" pitchFamily="34" charset="0"/>
              <a:cs typeface="Arial" panose="020B0604020202020204" pitchFamily="34" charset="0"/>
            </a:rPr>
            <a:t>results</a:t>
          </a:r>
        </a:p>
      </xdr:txBody>
    </xdr:sp>
    <xdr:clientData/>
  </xdr:twoCellAnchor>
  <xdr:twoCellAnchor editAs="oneCell">
    <xdr:from>
      <xdr:col>8</xdr:col>
      <xdr:colOff>60852</xdr:colOff>
      <xdr:row>1</xdr:row>
      <xdr:rowOff>47625</xdr:rowOff>
    </xdr:from>
    <xdr:to>
      <xdr:col>8</xdr:col>
      <xdr:colOff>2040524</xdr:colOff>
      <xdr:row>2</xdr:row>
      <xdr:rowOff>320145</xdr:rowOff>
    </xdr:to>
    <xdr:pic>
      <xdr:nvPicPr>
        <xdr:cNvPr id="3" name="Picture 2" descr="College of Agriculture, Food and Rural Enterprise | CAFRE">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4602" y="436563"/>
          <a:ext cx="1979672" cy="7328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285750</xdr:colOff>
      <xdr:row>5</xdr:row>
      <xdr:rowOff>63499</xdr:rowOff>
    </xdr:from>
    <xdr:to>
      <xdr:col>8</xdr:col>
      <xdr:colOff>1841500</xdr:colOff>
      <xdr:row>6</xdr:row>
      <xdr:rowOff>317500</xdr:rowOff>
    </xdr:to>
    <xdr:sp macro="" textlink="">
      <xdr:nvSpPr>
        <xdr:cNvPr id="5" name="Rounded Rectangle 9">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8699500" y="9501187"/>
          <a:ext cx="1555750" cy="714376"/>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lt1"/>
              </a:solidFill>
              <a:effectLst/>
              <a:latin typeface="Arial" panose="020B0604020202020204" pitchFamily="34" charset="0"/>
              <a:ea typeface="+mn-ea"/>
              <a:cs typeface="Arial" panose="020B0604020202020204" pitchFamily="34" charset="0"/>
            </a:rPr>
            <a:t>Click </a:t>
          </a:r>
          <a:r>
            <a:rPr lang="en-GB" sz="1200" b="1" u="sng">
              <a:solidFill>
                <a:schemeClr val="lt1"/>
              </a:solidFill>
              <a:effectLst/>
              <a:latin typeface="Arial" panose="020B0604020202020204" pitchFamily="34" charset="0"/>
              <a:ea typeface="+mn-ea"/>
              <a:cs typeface="Arial" panose="020B0604020202020204" pitchFamily="34" charset="0"/>
            </a:rPr>
            <a:t>here</a:t>
          </a:r>
          <a:r>
            <a:rPr lang="en-GB" sz="1200" b="1">
              <a:solidFill>
                <a:schemeClr val="lt1"/>
              </a:solidFill>
              <a:effectLst/>
              <a:latin typeface="Arial" panose="020B0604020202020204" pitchFamily="34" charset="0"/>
              <a:ea typeface="+mn-ea"/>
              <a:cs typeface="Arial" panose="020B0604020202020204" pitchFamily="34" charset="0"/>
            </a:rPr>
            <a:t> to return to the previous</a:t>
          </a:r>
          <a:r>
            <a:rPr lang="en-GB" sz="1200" b="1" baseline="0">
              <a:solidFill>
                <a:schemeClr val="lt1"/>
              </a:solidFill>
              <a:effectLst/>
              <a:latin typeface="Arial" panose="020B0604020202020204" pitchFamily="34" charset="0"/>
              <a:ea typeface="+mn-ea"/>
              <a:cs typeface="Arial" panose="020B0604020202020204" pitchFamily="34" charset="0"/>
            </a:rPr>
            <a:t> page</a:t>
          </a:r>
          <a:endParaRPr lang="en-GB" sz="1600">
            <a:effectLst/>
            <a:latin typeface="Arial" panose="020B0604020202020204" pitchFamily="34" charset="0"/>
            <a:cs typeface="Arial" panose="020B0604020202020204" pitchFamily="34" charset="0"/>
          </a:endParaRPr>
        </a:p>
      </xdr:txBody>
    </xdr:sp>
    <xdr:clientData/>
  </xdr:twoCellAnchor>
  <xdr:twoCellAnchor>
    <xdr:from>
      <xdr:col>8</xdr:col>
      <xdr:colOff>47622</xdr:colOff>
      <xdr:row>2</xdr:row>
      <xdr:rowOff>388937</xdr:rowOff>
    </xdr:from>
    <xdr:to>
      <xdr:col>8</xdr:col>
      <xdr:colOff>1992309</xdr:colOff>
      <xdr:row>7</xdr:row>
      <xdr:rowOff>238125</xdr:rowOff>
    </xdr:to>
    <xdr:sp macro="" textlink="">
      <xdr:nvSpPr>
        <xdr:cNvPr id="7" name="Rounded Rectangle 7">
          <a:extLst>
            <a:ext uri="{FF2B5EF4-FFF2-40B4-BE49-F238E27FC236}">
              <a16:creationId xmlns:a16="http://schemas.microsoft.com/office/drawing/2014/main" id="{00000000-0008-0000-0600-000007000000}"/>
            </a:ext>
          </a:extLst>
        </xdr:cNvPr>
        <xdr:cNvSpPr/>
      </xdr:nvSpPr>
      <xdr:spPr>
        <a:xfrm>
          <a:off x="8461372" y="1238250"/>
          <a:ext cx="1944687" cy="2214563"/>
        </a:xfrm>
        <a:prstGeom prst="roundRect">
          <a:avLst/>
        </a:prstGeom>
        <a:solidFill>
          <a:srgbClr val="B8E08C"/>
        </a:solidFill>
        <a:ln>
          <a:solidFill>
            <a:srgbClr val="B8E08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1">
              <a:solidFill>
                <a:sysClr val="windowText" lastClr="000000"/>
              </a:solidFill>
              <a:latin typeface="Arial" panose="020B0604020202020204" pitchFamily="34" charset="0"/>
              <a:cs typeface="Arial" panose="020B0604020202020204" pitchFamily="34" charset="0"/>
            </a:rPr>
            <a:t>HINT</a:t>
          </a:r>
        </a:p>
        <a:p>
          <a:pPr algn="ctr"/>
          <a:r>
            <a:rPr lang="en-GB" sz="1000">
              <a:solidFill>
                <a:sysClr val="windowText" lastClr="000000"/>
              </a:solidFill>
              <a:latin typeface="Arial" panose="020B0604020202020204" pitchFamily="34" charset="0"/>
              <a:cs typeface="Arial" panose="020B0604020202020204" pitchFamily="34" charset="0"/>
            </a:rPr>
            <a:t>1. Click on the green box for</a:t>
          </a:r>
          <a:r>
            <a:rPr lang="en-GB" sz="1000" baseline="0">
              <a:solidFill>
                <a:sysClr val="windowText" lastClr="000000"/>
              </a:solidFill>
              <a:latin typeface="Arial" panose="020B0604020202020204" pitchFamily="34" charset="0"/>
              <a:cs typeface="Arial" panose="020B0604020202020204" pitchFamily="34" charset="0"/>
            </a:rPr>
            <a:t> an arrow to appear. </a:t>
          </a:r>
        </a:p>
        <a:p>
          <a:pPr algn="ctr"/>
          <a:endParaRPr lang="en-GB" sz="1000" baseline="0">
            <a:solidFill>
              <a:sysClr val="windowText" lastClr="000000"/>
            </a:solidFill>
            <a:latin typeface="Arial" panose="020B0604020202020204" pitchFamily="34" charset="0"/>
            <a:cs typeface="Arial" panose="020B0604020202020204" pitchFamily="34" charset="0"/>
          </a:endParaRPr>
        </a:p>
        <a:p>
          <a:pPr algn="ctr"/>
          <a:r>
            <a:rPr lang="en-GB" sz="1000" baseline="0">
              <a:solidFill>
                <a:sysClr val="windowText" lastClr="000000"/>
              </a:solidFill>
              <a:latin typeface="Arial" panose="020B0604020202020204" pitchFamily="34" charset="0"/>
              <a:cs typeface="Arial" panose="020B0604020202020204" pitchFamily="34" charset="0"/>
            </a:rPr>
            <a:t>2. Click on the arrow for a list of answers.</a:t>
          </a:r>
        </a:p>
        <a:p>
          <a:pPr algn="ctr"/>
          <a:endParaRPr lang="en-GB" sz="1000" baseline="0">
            <a:solidFill>
              <a:sysClr val="windowText" lastClr="000000"/>
            </a:solidFill>
            <a:latin typeface="Arial" panose="020B0604020202020204" pitchFamily="34" charset="0"/>
            <a:cs typeface="Arial" panose="020B0604020202020204" pitchFamily="34" charset="0"/>
          </a:endParaRPr>
        </a:p>
        <a:p>
          <a:pPr algn="ctr"/>
          <a:r>
            <a:rPr lang="en-GB" sz="1000" baseline="0">
              <a:solidFill>
                <a:sysClr val="windowText" lastClr="000000"/>
              </a:solidFill>
              <a:latin typeface="Arial" panose="020B0604020202020204" pitchFamily="34" charset="0"/>
              <a:cs typeface="Arial" panose="020B0604020202020204" pitchFamily="34" charset="0"/>
            </a:rPr>
            <a:t>3. Select the most appropriate answer from the list. You will not be able to type into the green boxes.</a:t>
          </a:r>
        </a:p>
      </xdr:txBody>
    </xdr:sp>
    <xdr:clientData/>
  </xdr:twoCellAnchor>
  <xdr:twoCellAnchor>
    <xdr:from>
      <xdr:col>8</xdr:col>
      <xdr:colOff>55562</xdr:colOff>
      <xdr:row>15</xdr:row>
      <xdr:rowOff>452438</xdr:rowOff>
    </xdr:from>
    <xdr:to>
      <xdr:col>8</xdr:col>
      <xdr:colOff>2016125</xdr:colOff>
      <xdr:row>17</xdr:row>
      <xdr:rowOff>452438</xdr:rowOff>
    </xdr:to>
    <xdr:sp macro="" textlink="">
      <xdr:nvSpPr>
        <xdr:cNvPr id="10" name="Explosion 1 17">
          <a:extLst>
            <a:ext uri="{FF2B5EF4-FFF2-40B4-BE49-F238E27FC236}">
              <a16:creationId xmlns:a16="http://schemas.microsoft.com/office/drawing/2014/main" id="{00000000-0008-0000-0600-00000A000000}"/>
            </a:ext>
          </a:extLst>
        </xdr:cNvPr>
        <xdr:cNvSpPr/>
      </xdr:nvSpPr>
      <xdr:spPr>
        <a:xfrm>
          <a:off x="9028112" y="19283363"/>
          <a:ext cx="1960563" cy="914400"/>
        </a:xfrm>
        <a:prstGeom prst="roundRect">
          <a:avLst/>
        </a:prstGeom>
        <a:solidFill>
          <a:srgbClr val="F1F17B"/>
        </a:solidFill>
        <a:ln>
          <a:solidFill>
            <a:srgbClr val="F1F1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1" u="none">
              <a:solidFill>
                <a:sysClr val="windowText" lastClr="000000"/>
              </a:solidFill>
              <a:latin typeface="Arial" panose="020B0604020202020204" pitchFamily="34" charset="0"/>
              <a:cs typeface="Arial" panose="020B0604020202020204" pitchFamily="34" charset="0"/>
            </a:rPr>
            <a:t>HINT</a:t>
          </a:r>
        </a:p>
        <a:p>
          <a:pPr algn="ctr"/>
          <a:r>
            <a:rPr lang="en-GB" sz="1000">
              <a:solidFill>
                <a:sysClr val="windowText" lastClr="000000"/>
              </a:solidFill>
              <a:latin typeface="Arial" panose="020B0604020202020204" pitchFamily="34" charset="0"/>
              <a:cs typeface="Arial" panose="020B0604020202020204" pitchFamily="34" charset="0"/>
            </a:rPr>
            <a:t>Where a yellow box appears, please enter your own information.</a:t>
          </a:r>
        </a:p>
      </xdr:txBody>
    </xdr:sp>
    <xdr:clientData/>
  </xdr:twoCellAnchor>
  <xdr:twoCellAnchor>
    <xdr:from>
      <xdr:col>8</xdr:col>
      <xdr:colOff>142877</xdr:colOff>
      <xdr:row>7</xdr:row>
      <xdr:rowOff>301624</xdr:rowOff>
    </xdr:from>
    <xdr:to>
      <xdr:col>8</xdr:col>
      <xdr:colOff>1984377</xdr:colOff>
      <xdr:row>9</xdr:row>
      <xdr:rowOff>198437</xdr:rowOff>
    </xdr:to>
    <xdr:sp macro="" textlink="">
      <xdr:nvSpPr>
        <xdr:cNvPr id="8" name="Rectangle: Rounded Corners 7">
          <a:extLst>
            <a:ext uri="{FF2B5EF4-FFF2-40B4-BE49-F238E27FC236}">
              <a16:creationId xmlns:a16="http://schemas.microsoft.com/office/drawing/2014/main" id="{71B347F3-7484-498F-9DEC-B67B3C6C7B4E}"/>
            </a:ext>
          </a:extLst>
        </xdr:cNvPr>
        <xdr:cNvSpPr/>
      </xdr:nvSpPr>
      <xdr:spPr>
        <a:xfrm>
          <a:off x="7262815" y="3857624"/>
          <a:ext cx="1841500" cy="952501"/>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a:solidFill>
                <a:sysClr val="windowText" lastClr="000000"/>
              </a:solidFill>
              <a:latin typeface="Arial" panose="020B0604020202020204" pitchFamily="34" charset="0"/>
              <a:cs typeface="Arial" panose="020B0604020202020204" pitchFamily="34" charset="0"/>
            </a:rPr>
            <a:t>To move to the next answer box, please use the right arrow key on your keyboard or scroll using</a:t>
          </a:r>
          <a:r>
            <a:rPr lang="en-GB" sz="1050" baseline="0">
              <a:solidFill>
                <a:sysClr val="windowText" lastClr="000000"/>
              </a:solidFill>
              <a:latin typeface="Arial" panose="020B0604020202020204" pitchFamily="34" charset="0"/>
              <a:cs typeface="Arial" panose="020B0604020202020204" pitchFamily="34" charset="0"/>
            </a:rPr>
            <a:t> the mouse.</a:t>
          </a:r>
        </a:p>
      </xdr:txBody>
    </xdr:sp>
    <xdr:clientData/>
  </xdr:twoCellAnchor>
  <xdr:twoCellAnchor>
    <xdr:from>
      <xdr:col>8</xdr:col>
      <xdr:colOff>293687</xdr:colOff>
      <xdr:row>9</xdr:row>
      <xdr:rowOff>269875</xdr:rowOff>
    </xdr:from>
    <xdr:to>
      <xdr:col>8</xdr:col>
      <xdr:colOff>1982210</xdr:colOff>
      <xdr:row>10</xdr:row>
      <xdr:rowOff>371631</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3A51A25C-0FA2-4733-9428-0943D5C95A0B}"/>
            </a:ext>
          </a:extLst>
        </xdr:cNvPr>
        <xdr:cNvSpPr/>
      </xdr:nvSpPr>
      <xdr:spPr>
        <a:xfrm>
          <a:off x="7413625" y="4881563"/>
          <a:ext cx="1688523" cy="562131"/>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lt1"/>
              </a:solidFill>
              <a:effectLst/>
              <a:latin typeface="Arial" panose="020B0604020202020204" pitchFamily="34" charset="0"/>
              <a:ea typeface="+mn-ea"/>
              <a:cs typeface="Arial" panose="020B0604020202020204" pitchFamily="34" charset="0"/>
            </a:rPr>
            <a:t>Click </a:t>
          </a:r>
          <a:r>
            <a:rPr lang="en-GB" sz="1100" b="1" u="sng">
              <a:solidFill>
                <a:schemeClr val="lt1"/>
              </a:solidFill>
              <a:effectLst/>
              <a:latin typeface="Arial" panose="020B0604020202020204" pitchFamily="34" charset="0"/>
              <a:ea typeface="+mn-ea"/>
              <a:cs typeface="Arial" panose="020B0604020202020204" pitchFamily="34" charset="0"/>
            </a:rPr>
            <a:t>here</a:t>
          </a:r>
          <a:r>
            <a:rPr lang="en-GB" sz="1100" b="1">
              <a:solidFill>
                <a:schemeClr val="lt1"/>
              </a:solidFill>
              <a:effectLst/>
              <a:latin typeface="Arial" panose="020B0604020202020204" pitchFamily="34" charset="0"/>
              <a:ea typeface="+mn-ea"/>
              <a:cs typeface="Arial" panose="020B0604020202020204" pitchFamily="34" charset="0"/>
            </a:rPr>
            <a:t> to return to the Previous</a:t>
          </a:r>
          <a:r>
            <a:rPr lang="en-GB" sz="1100" b="1" baseline="0">
              <a:solidFill>
                <a:schemeClr val="lt1"/>
              </a:solidFill>
              <a:effectLst/>
              <a:latin typeface="Arial" panose="020B0604020202020204" pitchFamily="34" charset="0"/>
              <a:ea typeface="+mn-ea"/>
              <a:cs typeface="Arial" panose="020B0604020202020204" pitchFamily="34" charset="0"/>
            </a:rPr>
            <a:t> page</a:t>
          </a:r>
          <a:endParaRPr lang="en-GB" sz="1400">
            <a:effectLst/>
            <a:latin typeface="Arial" panose="020B0604020202020204" pitchFamily="34" charset="0"/>
            <a:cs typeface="Arial" panose="020B0604020202020204" pitchFamily="34" charset="0"/>
          </a:endParaRPr>
        </a:p>
      </xdr:txBody>
    </xdr:sp>
    <xdr:clientData/>
  </xdr:twoCellAnchor>
  <xdr:twoCellAnchor>
    <xdr:from>
      <xdr:col>8</xdr:col>
      <xdr:colOff>301625</xdr:colOff>
      <xdr:row>10</xdr:row>
      <xdr:rowOff>452437</xdr:rowOff>
    </xdr:from>
    <xdr:to>
      <xdr:col>8</xdr:col>
      <xdr:colOff>1992313</xdr:colOff>
      <xdr:row>12</xdr:row>
      <xdr:rowOff>404811</xdr:rowOff>
    </xdr:to>
    <xdr:sp macro="" textlink="">
      <xdr:nvSpPr>
        <xdr:cNvPr id="6" name="Rounded Rectangle 3">
          <a:hlinkClick xmlns:r="http://schemas.openxmlformats.org/officeDocument/2006/relationships" r:id="rId4"/>
          <a:extLst>
            <a:ext uri="{FF2B5EF4-FFF2-40B4-BE49-F238E27FC236}">
              <a16:creationId xmlns:a16="http://schemas.microsoft.com/office/drawing/2014/main" id="{36EEA749-C65F-42E8-8D4C-1C6B71BCDE39}"/>
            </a:ext>
          </a:extLst>
        </xdr:cNvPr>
        <xdr:cNvSpPr/>
      </xdr:nvSpPr>
      <xdr:spPr>
        <a:xfrm>
          <a:off x="7421563" y="5524500"/>
          <a:ext cx="1690688" cy="952499"/>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u="sng">
              <a:solidFill>
                <a:schemeClr val="lt1"/>
              </a:solidFill>
              <a:effectLst/>
              <a:latin typeface="Arial" panose="020B0604020202020204" pitchFamily="34" charset="0"/>
              <a:ea typeface="+mn-ea"/>
              <a:cs typeface="Arial" panose="020B0604020202020204" pitchFamily="34" charset="0"/>
            </a:rPr>
            <a:t>Click here</a:t>
          </a:r>
          <a:r>
            <a:rPr lang="en-GB" sz="1100" b="1">
              <a:solidFill>
                <a:schemeClr val="lt1"/>
              </a:solidFill>
              <a:effectLst/>
              <a:latin typeface="Arial" panose="020B0604020202020204" pitchFamily="34" charset="0"/>
              <a:ea typeface="+mn-ea"/>
              <a:cs typeface="Arial" panose="020B0604020202020204" pitchFamily="34" charset="0"/>
            </a:rPr>
            <a:t> to access the </a:t>
          </a:r>
          <a:r>
            <a:rPr lang="en-GB" sz="1100" b="1" u="sng">
              <a:solidFill>
                <a:schemeClr val="lt1"/>
              </a:solidFill>
              <a:effectLst/>
              <a:latin typeface="Arial" panose="020B0604020202020204" pitchFamily="34" charset="0"/>
              <a:ea typeface="+mn-ea"/>
              <a:cs typeface="Arial" panose="020B0604020202020204" pitchFamily="34" charset="0"/>
            </a:rPr>
            <a:t>Frequently</a:t>
          </a:r>
          <a:r>
            <a:rPr lang="en-GB" sz="1100" b="1" u="sng" baseline="0">
              <a:solidFill>
                <a:schemeClr val="lt1"/>
              </a:solidFill>
              <a:effectLst/>
              <a:latin typeface="Arial" panose="020B0604020202020204" pitchFamily="34" charset="0"/>
              <a:ea typeface="+mn-ea"/>
              <a:cs typeface="Arial" panose="020B0604020202020204" pitchFamily="34" charset="0"/>
            </a:rPr>
            <a:t> Asked Questions</a:t>
          </a:r>
          <a:endParaRPr lang="en-GB" sz="1200" b="1" u="sng">
            <a:effectLst/>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221835</xdr:colOff>
      <xdr:row>25</xdr:row>
      <xdr:rowOff>60447</xdr:rowOff>
    </xdr:from>
    <xdr:to>
      <xdr:col>7</xdr:col>
      <xdr:colOff>1707174</xdr:colOff>
      <xdr:row>26</xdr:row>
      <xdr:rowOff>101477</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a:off x="6651210" y="6886697"/>
          <a:ext cx="3215714" cy="358530"/>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Click</a:t>
          </a:r>
          <a:r>
            <a:rPr lang="en-GB" sz="1100" b="1" baseline="0">
              <a:solidFill>
                <a:schemeClr val="bg1"/>
              </a:solidFill>
              <a:latin typeface="Arial" panose="020B0604020202020204" pitchFamily="34" charset="0"/>
              <a:cs typeface="Arial" panose="020B0604020202020204" pitchFamily="34" charset="0"/>
            </a:rPr>
            <a:t> </a:t>
          </a:r>
          <a:r>
            <a:rPr lang="en-GB" sz="1100" b="1" u="sng" baseline="0">
              <a:solidFill>
                <a:schemeClr val="bg1"/>
              </a:solidFill>
              <a:latin typeface="Arial" panose="020B0604020202020204" pitchFamily="34" charset="0"/>
              <a:cs typeface="Arial" panose="020B0604020202020204" pitchFamily="34" charset="0"/>
            </a:rPr>
            <a:t>here</a:t>
          </a:r>
          <a:r>
            <a:rPr lang="en-GB" sz="1100" b="1" baseline="0">
              <a:solidFill>
                <a:schemeClr val="bg1"/>
              </a:solidFill>
              <a:latin typeface="Arial" panose="020B0604020202020204" pitchFamily="34" charset="0"/>
              <a:cs typeface="Arial" panose="020B0604020202020204" pitchFamily="34" charset="0"/>
            </a:rPr>
            <a:t> to view the Diagrams of Results</a:t>
          </a:r>
          <a:endParaRPr lang="en-GB"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5</xdr:col>
      <xdr:colOff>337649</xdr:colOff>
      <xdr:row>0</xdr:row>
      <xdr:rowOff>122115</xdr:rowOff>
    </xdr:from>
    <xdr:to>
      <xdr:col>7</xdr:col>
      <xdr:colOff>1487976</xdr:colOff>
      <xdr:row>11</xdr:row>
      <xdr:rowOff>182562</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4576274" y="122115"/>
          <a:ext cx="5071452" cy="2894135"/>
        </a:xfrm>
        <a:prstGeom prst="roundRect">
          <a:avLst/>
        </a:prstGeom>
        <a:solidFill>
          <a:schemeClr val="bg1"/>
        </a:solidFill>
        <a:ln>
          <a:solidFill>
            <a:schemeClr val="accent1">
              <a:lumMod val="75000"/>
            </a:schemeClr>
          </a:solidFill>
        </a:ln>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vert="horz" rtlCol="0" anchor="ctr"/>
        <a:lstStyle/>
        <a:p>
          <a:pPr algn="ctr"/>
          <a:r>
            <a:rPr lang="en-GB" sz="1050" b="1">
              <a:ln>
                <a:noFill/>
              </a:ln>
              <a:solidFill>
                <a:schemeClr val="accent1">
                  <a:lumMod val="75000"/>
                </a:schemeClr>
              </a:solidFill>
              <a:latin typeface="Arial" panose="020B0604020202020204" pitchFamily="34" charset="0"/>
              <a:cs typeface="Arial" panose="020B0604020202020204" pitchFamily="34" charset="0"/>
            </a:rPr>
            <a:t>You have now completed the biodiversity assessment</a:t>
          </a:r>
          <a:endParaRPr lang="en-GB" sz="1050" b="0">
            <a:ln>
              <a:noFill/>
            </a:ln>
            <a:solidFill>
              <a:schemeClr val="accent1">
                <a:lumMod val="75000"/>
              </a:schemeClr>
            </a:solidFill>
            <a:latin typeface="Arial" panose="020B0604020202020204" pitchFamily="34" charset="0"/>
            <a:cs typeface="Arial" panose="020B0604020202020204" pitchFamily="34" charset="0"/>
          </a:endParaRPr>
        </a:p>
        <a:p>
          <a:pPr algn="ctr"/>
          <a:r>
            <a:rPr lang="en-GB" sz="1050" b="0">
              <a:ln>
                <a:noFill/>
              </a:ln>
              <a:solidFill>
                <a:schemeClr val="accent1">
                  <a:lumMod val="75000"/>
                </a:schemeClr>
              </a:solidFill>
              <a:latin typeface="Arial" panose="020B0604020202020204" pitchFamily="34" charset="0"/>
              <a:cs typeface="Arial" panose="020B0604020202020204" pitchFamily="34" charset="0"/>
            </a:rPr>
            <a:t>Before</a:t>
          </a:r>
          <a:r>
            <a:rPr lang="en-GB" sz="1050" b="0" baseline="0">
              <a:ln>
                <a:noFill/>
              </a:ln>
              <a:solidFill>
                <a:schemeClr val="accent1">
                  <a:lumMod val="75000"/>
                </a:schemeClr>
              </a:solidFill>
              <a:latin typeface="Arial" panose="020B0604020202020204" pitchFamily="34" charset="0"/>
              <a:cs typeface="Arial" panose="020B0604020202020204" pitchFamily="34" charset="0"/>
            </a:rPr>
            <a:t> you review the summary of your results below, please note that this tool has been developed to cover a very wide range of farms. The range of scores will vary from 1% to 100% % habitat area (Benchmark 1) and 10% to 90% Biodiversity assessment score (Benchmark 2), each score will vary depending on the farms situation e.g. lowland or upland and level of production.</a:t>
          </a:r>
        </a:p>
        <a:p>
          <a:pPr algn="ctr"/>
          <a:endParaRPr lang="en-GB" sz="1050" b="0" baseline="0">
            <a:solidFill>
              <a:schemeClr val="accent1">
                <a:lumMod val="75000"/>
              </a:schemeClr>
            </a:solidFill>
            <a:latin typeface="Arial" panose="020B0604020202020204" pitchFamily="34" charset="0"/>
            <a:cs typeface="Arial" panose="020B0604020202020204" pitchFamily="34" charset="0"/>
          </a:endParaRPr>
        </a:p>
        <a:p>
          <a:pPr algn="ctr"/>
          <a:r>
            <a:rPr lang="en-GB" sz="1050" b="0">
              <a:solidFill>
                <a:schemeClr val="accent1">
                  <a:lumMod val="75000"/>
                </a:schemeClr>
              </a:solidFill>
              <a:latin typeface="Arial" panose="020B0604020202020204" pitchFamily="34" charset="0"/>
              <a:cs typeface="Arial" panose="020B0604020202020204" pitchFamily="34" charset="0"/>
            </a:rPr>
            <a:t>The score is individual to your farm and</a:t>
          </a:r>
          <a:r>
            <a:rPr lang="en-GB" sz="1050" b="0" baseline="0">
              <a:solidFill>
                <a:schemeClr val="accent1">
                  <a:lumMod val="75000"/>
                </a:schemeClr>
              </a:solidFill>
              <a:latin typeface="Arial" panose="020B0604020202020204" pitchFamily="34" charset="0"/>
              <a:cs typeface="Arial" panose="020B0604020202020204" pitchFamily="34" charset="0"/>
            </a:rPr>
            <a:t> is </a:t>
          </a:r>
          <a:r>
            <a:rPr lang="en-GB" sz="1050" b="0">
              <a:solidFill>
                <a:schemeClr val="accent1">
                  <a:lumMod val="75000"/>
                </a:schemeClr>
              </a:solidFill>
              <a:latin typeface="Arial" panose="020B0604020202020204" pitchFamily="34" charset="0"/>
              <a:cs typeface="Arial" panose="020B0604020202020204" pitchFamily="34" charset="0"/>
            </a:rPr>
            <a:t>for your own use, to acknowledge the biodiversity benefits and habitats that your farm already provides and suggest ways for your situation where the farm could develop.</a:t>
          </a:r>
        </a:p>
        <a:p>
          <a:pPr algn="ctr"/>
          <a:endParaRPr lang="en-GB" sz="1050" b="0">
            <a:solidFill>
              <a:schemeClr val="accent1">
                <a:lumMod val="75000"/>
              </a:schemeClr>
            </a:solidFill>
            <a:latin typeface="Arial" panose="020B0604020202020204" pitchFamily="34" charset="0"/>
            <a:cs typeface="Arial" panose="020B0604020202020204" pitchFamily="34" charset="0"/>
          </a:endParaRPr>
        </a:p>
        <a:p>
          <a:pPr algn="ctr"/>
          <a:r>
            <a:rPr lang="en-GB" sz="1050" b="1">
              <a:solidFill>
                <a:schemeClr val="accent1">
                  <a:lumMod val="75000"/>
                </a:schemeClr>
              </a:solidFill>
              <a:latin typeface="Arial" panose="020B0604020202020204" pitchFamily="34" charset="0"/>
              <a:cs typeface="Arial" panose="020B0604020202020204" pitchFamily="34" charset="0"/>
            </a:rPr>
            <a:t>Summary of your results </a:t>
          </a:r>
        </a:p>
        <a:p>
          <a:pPr algn="ctr"/>
          <a:r>
            <a:rPr lang="en-GB" sz="1050" b="0">
              <a:solidFill>
                <a:schemeClr val="accent1">
                  <a:lumMod val="75000"/>
                </a:schemeClr>
              </a:solidFill>
              <a:latin typeface="Arial" panose="020B0604020202020204" pitchFamily="34" charset="0"/>
              <a:cs typeface="Arial" panose="020B0604020202020204" pitchFamily="34" charset="0"/>
            </a:rPr>
            <a:t>In the Summary of Results</a:t>
          </a:r>
          <a:r>
            <a:rPr lang="en-GB" sz="1050" b="0" baseline="0">
              <a:solidFill>
                <a:schemeClr val="accent1">
                  <a:lumMod val="75000"/>
                </a:schemeClr>
              </a:solidFill>
              <a:latin typeface="Arial" panose="020B0604020202020204" pitchFamily="34" charset="0"/>
              <a:cs typeface="Arial" panose="020B0604020202020204" pitchFamily="34" charset="0"/>
            </a:rPr>
            <a:t> </a:t>
          </a:r>
          <a:r>
            <a:rPr lang="en-GB" sz="1050" b="0">
              <a:solidFill>
                <a:schemeClr val="accent1">
                  <a:lumMod val="75000"/>
                </a:schemeClr>
              </a:solidFill>
              <a:latin typeface="Arial" panose="020B0604020202020204" pitchFamily="34" charset="0"/>
              <a:cs typeface="Arial" panose="020B0604020202020204" pitchFamily="34" charset="0"/>
            </a:rPr>
            <a:t>table below you can review your answers, please see the comments highlighted below. Implementing the suggested actions will help to raise the biodiversity value of your farm.</a:t>
          </a:r>
        </a:p>
      </xdr:txBody>
    </xdr:sp>
    <xdr:clientData/>
  </xdr:twoCellAnchor>
  <xdr:twoCellAnchor editAs="oneCell">
    <xdr:from>
      <xdr:col>1</xdr:col>
      <xdr:colOff>139904</xdr:colOff>
      <xdr:row>0</xdr:row>
      <xdr:rowOff>242401</xdr:rowOff>
    </xdr:from>
    <xdr:to>
      <xdr:col>2</xdr:col>
      <xdr:colOff>564962</xdr:colOff>
      <xdr:row>4</xdr:row>
      <xdr:rowOff>87923</xdr:rowOff>
    </xdr:to>
    <xdr:pic>
      <xdr:nvPicPr>
        <xdr:cNvPr id="9" name="Picture 8" descr="College of Agriculture, Food and Rural Enterprise | CAFRE">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2154" y="242401"/>
          <a:ext cx="2203058" cy="829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230788</xdr:colOff>
      <xdr:row>23</xdr:row>
      <xdr:rowOff>169741</xdr:rowOff>
    </xdr:from>
    <xdr:to>
      <xdr:col>7</xdr:col>
      <xdr:colOff>1715721</xdr:colOff>
      <xdr:row>24</xdr:row>
      <xdr:rowOff>261938</xdr:rowOff>
    </xdr:to>
    <xdr:sp macro="" textlink="">
      <xdr:nvSpPr>
        <xdr:cNvPr id="11" name="Rounded Rectangle 10">
          <a:hlinkClick xmlns:r="http://schemas.openxmlformats.org/officeDocument/2006/relationships" r:id="rId3"/>
          <a:extLst>
            <a:ext uri="{FF2B5EF4-FFF2-40B4-BE49-F238E27FC236}">
              <a16:creationId xmlns:a16="http://schemas.microsoft.com/office/drawing/2014/main" id="{00000000-0008-0000-0700-00000B000000}"/>
            </a:ext>
          </a:extLst>
        </xdr:cNvPr>
        <xdr:cNvSpPr/>
      </xdr:nvSpPr>
      <xdr:spPr>
        <a:xfrm>
          <a:off x="6660163" y="6456241"/>
          <a:ext cx="3215308" cy="362072"/>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lt1"/>
              </a:solidFill>
              <a:effectLst/>
              <a:latin typeface="Arial" panose="020B0604020202020204" pitchFamily="34" charset="0"/>
              <a:ea typeface="+mn-ea"/>
              <a:cs typeface="Arial" panose="020B0604020202020204" pitchFamily="34" charset="0"/>
            </a:rPr>
            <a:t>Click </a:t>
          </a:r>
          <a:r>
            <a:rPr lang="en-GB" sz="1100" b="1" u="sng">
              <a:solidFill>
                <a:schemeClr val="lt1"/>
              </a:solidFill>
              <a:effectLst/>
              <a:latin typeface="Arial" panose="020B0604020202020204" pitchFamily="34" charset="0"/>
              <a:ea typeface="+mn-ea"/>
              <a:cs typeface="Arial" panose="020B0604020202020204" pitchFamily="34" charset="0"/>
            </a:rPr>
            <a:t>here</a:t>
          </a:r>
          <a:r>
            <a:rPr lang="en-GB" sz="1100" b="1">
              <a:solidFill>
                <a:schemeClr val="lt1"/>
              </a:solidFill>
              <a:effectLst/>
              <a:latin typeface="Arial" panose="020B0604020202020204" pitchFamily="34" charset="0"/>
              <a:ea typeface="+mn-ea"/>
              <a:cs typeface="Arial" panose="020B0604020202020204" pitchFamily="34" charset="0"/>
            </a:rPr>
            <a:t> to return to the Previous</a:t>
          </a:r>
          <a:r>
            <a:rPr lang="en-GB" sz="1100" b="1" baseline="0">
              <a:solidFill>
                <a:schemeClr val="lt1"/>
              </a:solidFill>
              <a:effectLst/>
              <a:latin typeface="Arial" panose="020B0604020202020204" pitchFamily="34" charset="0"/>
              <a:ea typeface="+mn-ea"/>
              <a:cs typeface="Arial" panose="020B0604020202020204" pitchFamily="34" charset="0"/>
            </a:rPr>
            <a:t> page</a:t>
          </a:r>
          <a:endParaRPr lang="en-GB" sz="1400">
            <a:effectLst/>
            <a:latin typeface="Arial" panose="020B0604020202020204" pitchFamily="34" charset="0"/>
            <a:cs typeface="Arial" panose="020B0604020202020204" pitchFamily="34" charset="0"/>
          </a:endParaRPr>
        </a:p>
      </xdr:txBody>
    </xdr:sp>
    <xdr:clientData/>
  </xdr:twoCellAnchor>
  <xdr:twoCellAnchor>
    <xdr:from>
      <xdr:col>1</xdr:col>
      <xdr:colOff>7327</xdr:colOff>
      <xdr:row>23</xdr:row>
      <xdr:rowOff>58618</xdr:rowOff>
    </xdr:from>
    <xdr:to>
      <xdr:col>5</xdr:col>
      <xdr:colOff>2174875</xdr:colOff>
      <xdr:row>26</xdr:row>
      <xdr:rowOff>7327</xdr:rowOff>
    </xdr:to>
    <xdr:sp macro="" textlink="">
      <xdr:nvSpPr>
        <xdr:cNvPr id="3" name="Rounded Rectangle 6">
          <a:hlinkClick xmlns:r="http://schemas.openxmlformats.org/officeDocument/2006/relationships" r:id="rId4"/>
          <a:extLst>
            <a:ext uri="{FF2B5EF4-FFF2-40B4-BE49-F238E27FC236}">
              <a16:creationId xmlns:a16="http://schemas.microsoft.com/office/drawing/2014/main" id="{00000000-0008-0000-0700-000003000000}"/>
            </a:ext>
          </a:extLst>
        </xdr:cNvPr>
        <xdr:cNvSpPr/>
      </xdr:nvSpPr>
      <xdr:spPr>
        <a:xfrm>
          <a:off x="229577" y="6345118"/>
          <a:ext cx="6183923" cy="805959"/>
        </a:xfrm>
        <a:prstGeom prst="roundRect">
          <a:avLst/>
        </a:prstGeom>
        <a:solidFill>
          <a:schemeClr val="bg1"/>
        </a:solidFill>
        <a:ln>
          <a:solidFill>
            <a:schemeClr val="accent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accent1">
                  <a:lumMod val="75000"/>
                </a:schemeClr>
              </a:solidFill>
              <a:latin typeface="Arial" panose="020B0604020202020204" pitchFamily="34" charset="0"/>
              <a:cs typeface="Arial" panose="020B0604020202020204" pitchFamily="34" charset="0"/>
            </a:rPr>
            <a:t>Evaluation Form</a:t>
          </a:r>
        </a:p>
        <a:p>
          <a:pPr algn="ctr"/>
          <a:r>
            <a:rPr lang="en-GB" sz="1050">
              <a:solidFill>
                <a:schemeClr val="accent1">
                  <a:lumMod val="75000"/>
                </a:schemeClr>
              </a:solidFill>
              <a:latin typeface="Arial" panose="020B0604020202020204" pitchFamily="34" charset="0"/>
              <a:cs typeface="Arial" panose="020B0604020202020204" pitchFamily="34" charset="0"/>
            </a:rPr>
            <a:t>After using the</a:t>
          </a:r>
          <a:r>
            <a:rPr lang="en-GB" sz="1050" baseline="0">
              <a:solidFill>
                <a:schemeClr val="accent1">
                  <a:lumMod val="75000"/>
                </a:schemeClr>
              </a:solidFill>
              <a:latin typeface="Arial" panose="020B0604020202020204" pitchFamily="34" charset="0"/>
              <a:cs typeface="Arial" panose="020B0604020202020204" pitchFamily="34" charset="0"/>
            </a:rPr>
            <a:t> assessment tool, pl</a:t>
          </a:r>
          <a:r>
            <a:rPr lang="en-GB" sz="1050">
              <a:solidFill>
                <a:schemeClr val="accent1">
                  <a:lumMod val="75000"/>
                </a:schemeClr>
              </a:solidFill>
              <a:latin typeface="Arial" panose="020B0604020202020204" pitchFamily="34" charset="0"/>
              <a:cs typeface="Arial" panose="020B0604020202020204" pitchFamily="34" charset="0"/>
            </a:rPr>
            <a:t>ease </a:t>
          </a:r>
          <a:r>
            <a:rPr lang="en-GB" sz="1050" b="1" u="sng">
              <a:solidFill>
                <a:schemeClr val="accent1">
                  <a:lumMod val="75000"/>
                </a:schemeClr>
              </a:solidFill>
              <a:latin typeface="Arial" panose="020B0604020202020204" pitchFamily="34" charset="0"/>
              <a:cs typeface="Arial" panose="020B0604020202020204" pitchFamily="34" charset="0"/>
            </a:rPr>
            <a:t>click here</a:t>
          </a:r>
          <a:r>
            <a:rPr lang="en-GB" sz="1050" b="1" u="none">
              <a:solidFill>
                <a:schemeClr val="accent1">
                  <a:lumMod val="75000"/>
                </a:schemeClr>
              </a:solidFill>
              <a:latin typeface="Arial" panose="020B0604020202020204" pitchFamily="34" charset="0"/>
              <a:cs typeface="Arial" panose="020B0604020202020204" pitchFamily="34" charset="0"/>
            </a:rPr>
            <a:t> </a:t>
          </a:r>
          <a:r>
            <a:rPr lang="en-GB" sz="1050">
              <a:solidFill>
                <a:schemeClr val="accent1">
                  <a:lumMod val="75000"/>
                </a:schemeClr>
              </a:solidFill>
              <a:latin typeface="Arial" panose="020B0604020202020204" pitchFamily="34" charset="0"/>
              <a:cs typeface="Arial" panose="020B0604020202020204" pitchFamily="34" charset="0"/>
            </a:rPr>
            <a:t>to complete</a:t>
          </a:r>
          <a:r>
            <a:rPr lang="en-GB" sz="1050" baseline="0">
              <a:solidFill>
                <a:schemeClr val="accent1">
                  <a:lumMod val="75000"/>
                </a:schemeClr>
              </a:solidFill>
              <a:latin typeface="Arial" panose="020B0604020202020204" pitchFamily="34" charset="0"/>
              <a:cs typeface="Arial" panose="020B0604020202020204" pitchFamily="34" charset="0"/>
            </a:rPr>
            <a:t> a short evaluation form.</a:t>
          </a:r>
        </a:p>
        <a:p>
          <a:pPr algn="ctr"/>
          <a:r>
            <a:rPr lang="en-GB" sz="1050" baseline="0">
              <a:solidFill>
                <a:schemeClr val="accent1">
                  <a:lumMod val="75000"/>
                </a:schemeClr>
              </a:solidFill>
              <a:latin typeface="Arial" panose="020B0604020202020204" pitchFamily="34" charset="0"/>
              <a:cs typeface="Arial" panose="020B0604020202020204" pitchFamily="34" charset="0"/>
            </a:rPr>
            <a:t>Your response will help with the development of future tools. Thank-you</a:t>
          </a:r>
          <a:endParaRPr lang="en-GB" sz="1050">
            <a:solidFill>
              <a:schemeClr val="accent1">
                <a:lumMod val="75000"/>
              </a:schemeClr>
            </a:solidFill>
            <a:latin typeface="Arial" panose="020B0604020202020204" pitchFamily="34" charset="0"/>
            <a:cs typeface="Arial" panose="020B0604020202020204" pitchFamily="34" charset="0"/>
          </a:endParaRPr>
        </a:p>
      </xdr:txBody>
    </xdr:sp>
    <xdr:clientData/>
  </xdr:twoCellAnchor>
  <xdr:twoCellAnchor>
    <xdr:from>
      <xdr:col>6</xdr:col>
      <xdr:colOff>182563</xdr:colOff>
      <xdr:row>12</xdr:row>
      <xdr:rowOff>127000</xdr:rowOff>
    </xdr:from>
    <xdr:to>
      <xdr:col>7</xdr:col>
      <xdr:colOff>1687634</xdr:colOff>
      <xdr:row>18</xdr:row>
      <xdr:rowOff>261936</xdr:rowOff>
    </xdr:to>
    <xdr:sp macro="" textlink="">
      <xdr:nvSpPr>
        <xdr:cNvPr id="4" name="Rounded Rectangle 1">
          <a:hlinkClick xmlns:r="http://schemas.openxmlformats.org/officeDocument/2006/relationships" r:id="rId5"/>
          <a:extLst>
            <a:ext uri="{FF2B5EF4-FFF2-40B4-BE49-F238E27FC236}">
              <a16:creationId xmlns:a16="http://schemas.microsoft.com/office/drawing/2014/main" id="{4757CD94-4310-4ECC-BAC0-6D0CD40343CF}"/>
            </a:ext>
          </a:extLst>
        </xdr:cNvPr>
        <xdr:cNvSpPr/>
      </xdr:nvSpPr>
      <xdr:spPr>
        <a:xfrm>
          <a:off x="6611938" y="3238500"/>
          <a:ext cx="3235446" cy="1841499"/>
        </a:xfrm>
        <a:prstGeom prst="roundRect">
          <a:avLst/>
        </a:prstGeom>
        <a:solidFill>
          <a:schemeClr val="accent1">
            <a:lumMod val="75000"/>
          </a:schemeClr>
        </a:solidFill>
        <a:ln>
          <a:solidFill>
            <a:schemeClr val="accent1">
              <a:lumMod val="75000"/>
            </a:schemeClr>
          </a:solidFill>
        </a:ln>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vert="horz"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50">
              <a:solidFill>
                <a:schemeClr val="bg1"/>
              </a:solidFill>
              <a:latin typeface="Arial" panose="020B0604020202020204" pitchFamily="34" charset="0"/>
              <a:cs typeface="Arial" panose="020B0604020202020204" pitchFamily="34" charset="0"/>
            </a:rPr>
            <a:t>To allow CAFRE staff to compare and analyse results from a range of different farms,</a:t>
          </a:r>
          <a:r>
            <a:rPr lang="en-GB" sz="1050" baseline="0">
              <a:solidFill>
                <a:schemeClr val="bg1"/>
              </a:solidFill>
              <a:latin typeface="Arial" panose="020B0604020202020204" pitchFamily="34" charset="0"/>
              <a:cs typeface="Arial" panose="020B0604020202020204" pitchFamily="34" charset="0"/>
            </a:rPr>
            <a:t> please </a:t>
          </a:r>
          <a:r>
            <a:rPr lang="en-GB" sz="1050" u="sng" baseline="0">
              <a:solidFill>
                <a:schemeClr val="bg1"/>
              </a:solidFill>
              <a:latin typeface="Arial" panose="020B0604020202020204" pitchFamily="34" charset="0"/>
              <a:cs typeface="Arial" panose="020B0604020202020204" pitchFamily="34" charset="0"/>
            </a:rPr>
            <a:t>click here</a:t>
          </a:r>
          <a:r>
            <a:rPr lang="en-GB" sz="1050" u="none" baseline="0">
              <a:solidFill>
                <a:schemeClr val="bg1"/>
              </a:solidFill>
              <a:latin typeface="Arial" panose="020B0604020202020204" pitchFamily="34" charset="0"/>
              <a:cs typeface="Arial" panose="020B0604020202020204" pitchFamily="34" charset="0"/>
            </a:rPr>
            <a:t> </a:t>
          </a:r>
          <a:r>
            <a:rPr lang="en-GB" sz="1050" baseline="0">
              <a:solidFill>
                <a:schemeClr val="bg1"/>
              </a:solidFill>
              <a:latin typeface="Arial" panose="020B0604020202020204" pitchFamily="34" charset="0"/>
              <a:cs typeface="Arial" panose="020B0604020202020204" pitchFamily="34" charset="0"/>
            </a:rPr>
            <a:t>to email your completed assessment tool to: </a:t>
          </a:r>
          <a:r>
            <a:rPr lang="en-GB" sz="1050" b="1" u="sng">
              <a:solidFill>
                <a:srgbClr val="FFFF7D"/>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CAFREFarmBioTool@cafre.ac.uk</a:t>
          </a:r>
          <a:endParaRPr lang="en-GB" sz="1050" b="1" u="sng">
            <a:solidFill>
              <a:srgbClr val="FFFF7D"/>
            </a:solidFill>
            <a:effectLst/>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GB" sz="1050" b="1" u="sng">
            <a:solidFill>
              <a:srgbClr val="FFFF7D"/>
            </a:solidFill>
            <a:effectLst/>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GB" sz="1050" b="0">
              <a:solidFill>
                <a:schemeClr val="lt1"/>
              </a:solidFill>
              <a:effectLst/>
              <a:latin typeface="Arial" panose="020B0604020202020204" pitchFamily="34" charset="0"/>
              <a:ea typeface="+mn-ea"/>
              <a:cs typeface="Arial" panose="020B0604020202020204" pitchFamily="34" charset="0"/>
            </a:rPr>
            <a:t>The information that you have provided in this tool </a:t>
          </a:r>
          <a:r>
            <a:rPr lang="en-GB" sz="1050" b="1">
              <a:solidFill>
                <a:schemeClr val="lt1"/>
              </a:solidFill>
              <a:effectLst/>
              <a:latin typeface="Arial" panose="020B0604020202020204" pitchFamily="34" charset="0"/>
              <a:ea typeface="+mn-ea"/>
              <a:cs typeface="Arial" panose="020B0604020202020204" pitchFamily="34" charset="0"/>
            </a:rPr>
            <a:t>will not </a:t>
          </a:r>
          <a:r>
            <a:rPr lang="en-GB" sz="1050" b="0">
              <a:solidFill>
                <a:schemeClr val="lt1"/>
              </a:solidFill>
              <a:effectLst/>
              <a:latin typeface="Arial" panose="020B0604020202020204" pitchFamily="34" charset="0"/>
              <a:ea typeface="+mn-ea"/>
              <a:cs typeface="Arial" panose="020B0604020202020204" pitchFamily="34" charset="0"/>
            </a:rPr>
            <a:t>be linked to your</a:t>
          </a:r>
          <a:r>
            <a:rPr lang="en-GB" sz="1050" b="0" baseline="0">
              <a:solidFill>
                <a:schemeClr val="lt1"/>
              </a:solidFill>
              <a:effectLst/>
              <a:latin typeface="Arial" panose="020B0604020202020204" pitchFamily="34" charset="0"/>
              <a:ea typeface="+mn-ea"/>
              <a:cs typeface="Arial" panose="020B0604020202020204" pitchFamily="34" charset="0"/>
            </a:rPr>
            <a:t> DAERA farm business ID.</a:t>
          </a:r>
        </a:p>
        <a:p>
          <a:pPr marL="0" marR="0" lvl="0" indent="0" algn="ctr" defTabSz="914400" eaLnBrk="1" fontAlgn="auto" latinLnBrk="0" hangingPunct="1">
            <a:lnSpc>
              <a:spcPct val="100000"/>
            </a:lnSpc>
            <a:spcBef>
              <a:spcPts val="0"/>
            </a:spcBef>
            <a:spcAft>
              <a:spcPts val="0"/>
            </a:spcAft>
            <a:buClrTx/>
            <a:buSzTx/>
            <a:buFontTx/>
            <a:buNone/>
            <a:tabLst/>
            <a:defRPr/>
          </a:pPr>
          <a:r>
            <a:rPr lang="en-GB" sz="1050">
              <a:effectLst/>
              <a:latin typeface="Arial" panose="020B0604020202020204" pitchFamily="34" charset="0"/>
              <a:cs typeface="Arial" panose="020B0604020202020204" pitchFamily="34" charset="0"/>
            </a:rPr>
            <a:t>Please </a:t>
          </a:r>
          <a:r>
            <a:rPr lang="en-GB" sz="1050" u="sng">
              <a:effectLst/>
              <a:latin typeface="Arial" panose="020B0604020202020204" pitchFamily="34" charset="0"/>
              <a:cs typeface="Arial" panose="020B0604020202020204" pitchFamily="34" charset="0"/>
            </a:rPr>
            <a:t>click here</a:t>
          </a:r>
          <a:r>
            <a:rPr lang="en-GB" sz="1050" u="none">
              <a:effectLst/>
              <a:latin typeface="Arial" panose="020B0604020202020204" pitchFamily="34" charset="0"/>
              <a:cs typeface="Arial" panose="020B0604020202020204" pitchFamily="34" charset="0"/>
            </a:rPr>
            <a:t> </a:t>
          </a:r>
          <a:r>
            <a:rPr lang="en-GB" sz="1050">
              <a:effectLst/>
              <a:latin typeface="Arial" panose="020B0604020202020204" pitchFamily="34" charset="0"/>
              <a:cs typeface="Arial" panose="020B0604020202020204" pitchFamily="34" charset="0"/>
            </a:rPr>
            <a:t>to send a query to the CAFRE team.</a:t>
          </a:r>
        </a:p>
      </xdr:txBody>
    </xdr:sp>
    <xdr:clientData/>
  </xdr:twoCellAnchor>
  <xdr:twoCellAnchor>
    <xdr:from>
      <xdr:col>2</xdr:col>
      <xdr:colOff>174625</xdr:colOff>
      <xdr:row>143</xdr:row>
      <xdr:rowOff>125779</xdr:rowOff>
    </xdr:from>
    <xdr:to>
      <xdr:col>6</xdr:col>
      <xdr:colOff>1309688</xdr:colOff>
      <xdr:row>148</xdr:row>
      <xdr:rowOff>0</xdr:rowOff>
    </xdr:to>
    <xdr:sp macro="" textlink="">
      <xdr:nvSpPr>
        <xdr:cNvPr id="5" name="Rounded Rectangle 1">
          <a:hlinkClick xmlns:r="http://schemas.openxmlformats.org/officeDocument/2006/relationships" r:id="rId5"/>
          <a:extLst>
            <a:ext uri="{FF2B5EF4-FFF2-40B4-BE49-F238E27FC236}">
              <a16:creationId xmlns:a16="http://schemas.microsoft.com/office/drawing/2014/main" id="{2A39A044-9574-452D-855A-AE43F28AF7DE}"/>
            </a:ext>
          </a:extLst>
        </xdr:cNvPr>
        <xdr:cNvSpPr/>
      </xdr:nvSpPr>
      <xdr:spPr>
        <a:xfrm>
          <a:off x="2174875" y="96074279"/>
          <a:ext cx="5564188" cy="1104534"/>
        </a:xfrm>
        <a:prstGeom prst="roundRect">
          <a:avLst/>
        </a:prstGeom>
        <a:solidFill>
          <a:schemeClr val="accent1">
            <a:lumMod val="75000"/>
          </a:schemeClr>
        </a:solidFill>
        <a:ln>
          <a:solidFill>
            <a:schemeClr val="accent1">
              <a:lumMod val="75000"/>
            </a:schemeClr>
          </a:solidFill>
        </a:ln>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vert="horz" rtlCol="0" anchor="ctr"/>
        <a:lstStyle/>
        <a:p>
          <a:pPr algn="ctr"/>
          <a:r>
            <a:rPr lang="en-GB" sz="1200">
              <a:solidFill>
                <a:schemeClr val="bg1"/>
              </a:solidFill>
              <a:latin typeface="Arial" panose="020B0604020202020204" pitchFamily="34" charset="0"/>
              <a:cs typeface="Arial" panose="020B0604020202020204" pitchFamily="34" charset="0"/>
            </a:rPr>
            <a:t>To allow CAFRE staff to compare and analyse results from a range of different farms,</a:t>
          </a:r>
          <a:r>
            <a:rPr lang="en-GB" sz="1200" baseline="0">
              <a:solidFill>
                <a:schemeClr val="bg1"/>
              </a:solidFill>
              <a:latin typeface="Arial" panose="020B0604020202020204" pitchFamily="34" charset="0"/>
              <a:cs typeface="Arial" panose="020B0604020202020204" pitchFamily="34" charset="0"/>
            </a:rPr>
            <a:t> please </a:t>
          </a:r>
          <a:r>
            <a:rPr lang="en-GB" sz="1200" u="sng" baseline="0">
              <a:solidFill>
                <a:schemeClr val="bg1"/>
              </a:solidFill>
              <a:latin typeface="Arial" panose="020B0604020202020204" pitchFamily="34" charset="0"/>
              <a:cs typeface="Arial" panose="020B0604020202020204" pitchFamily="34" charset="0"/>
            </a:rPr>
            <a:t>click here</a:t>
          </a:r>
          <a:r>
            <a:rPr lang="en-GB" sz="1200" u="none" baseline="0">
              <a:solidFill>
                <a:schemeClr val="bg1"/>
              </a:solidFill>
              <a:latin typeface="Arial" panose="020B0604020202020204" pitchFamily="34" charset="0"/>
              <a:cs typeface="Arial" panose="020B0604020202020204" pitchFamily="34" charset="0"/>
            </a:rPr>
            <a:t> </a:t>
          </a:r>
          <a:r>
            <a:rPr lang="en-GB" sz="1200" baseline="0">
              <a:solidFill>
                <a:schemeClr val="bg1"/>
              </a:solidFill>
              <a:latin typeface="Arial" panose="020B0604020202020204" pitchFamily="34" charset="0"/>
              <a:cs typeface="Arial" panose="020B0604020202020204" pitchFamily="34" charset="0"/>
            </a:rPr>
            <a:t>to email the completed assessment tool to: </a:t>
          </a:r>
          <a:r>
            <a:rPr lang="en-GB" sz="1200" b="1" u="sng">
              <a:solidFill>
                <a:srgbClr val="FFFF7D"/>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CAFREFarmBioTool@cafre.ac.uk</a:t>
          </a:r>
          <a:endParaRPr lang="en-GB" sz="1200" b="1" u="sng">
            <a:solidFill>
              <a:srgbClr val="FFFF7D"/>
            </a:solidFill>
            <a:effectLst/>
            <a:latin typeface="Arial" panose="020B0604020202020204" pitchFamily="34" charset="0"/>
            <a:ea typeface="+mn-ea"/>
            <a:cs typeface="Arial" panose="020B0604020202020204" pitchFamily="34" charset="0"/>
          </a:endParaRPr>
        </a:p>
        <a:p>
          <a:pPr algn="ctr"/>
          <a:r>
            <a:rPr lang="en-GB" sz="1200">
              <a:solidFill>
                <a:schemeClr val="bg1"/>
              </a:solidFill>
              <a:latin typeface="Arial" panose="020B0604020202020204" pitchFamily="34" charset="0"/>
              <a:cs typeface="Arial" panose="020B0604020202020204" pitchFamily="34" charset="0"/>
            </a:rPr>
            <a:t>The information that you have provided in this tool will not be linked to your DAERA farm business number.</a:t>
          </a:r>
          <a:endParaRPr lang="en-GB" sz="1200">
            <a:solidFill>
              <a:srgbClr val="FFFF7D"/>
            </a:solidFill>
            <a:latin typeface="Arial" panose="020B0604020202020204" pitchFamily="34" charset="0"/>
            <a:cs typeface="Arial" panose="020B0604020202020204" pitchFamily="34" charset="0"/>
          </a:endParaRPr>
        </a:p>
      </xdr:txBody>
    </xdr:sp>
    <xdr:clientData/>
  </xdr:twoCellAnchor>
  <xdr:twoCellAnchor>
    <xdr:from>
      <xdr:col>6</xdr:col>
      <xdr:colOff>1537027</xdr:colOff>
      <xdr:row>143</xdr:row>
      <xdr:rowOff>141652</xdr:rowOff>
    </xdr:from>
    <xdr:to>
      <xdr:col>7</xdr:col>
      <xdr:colOff>1420330</xdr:colOff>
      <xdr:row>148</xdr:row>
      <xdr:rowOff>15875</xdr:rowOff>
    </xdr:to>
    <xdr:sp macro="" textlink="">
      <xdr:nvSpPr>
        <xdr:cNvPr id="7" name="Rounded Rectangle 5">
          <a:hlinkClick xmlns:r="http://schemas.openxmlformats.org/officeDocument/2006/relationships" r:id="rId1"/>
          <a:extLst>
            <a:ext uri="{FF2B5EF4-FFF2-40B4-BE49-F238E27FC236}">
              <a16:creationId xmlns:a16="http://schemas.microsoft.com/office/drawing/2014/main" id="{FACB95C6-1228-4D38-8ED6-40888609EF75}"/>
            </a:ext>
          </a:extLst>
        </xdr:cNvPr>
        <xdr:cNvSpPr/>
      </xdr:nvSpPr>
      <xdr:spPr>
        <a:xfrm>
          <a:off x="7966402" y="96090152"/>
          <a:ext cx="1613678" cy="1104536"/>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bg1"/>
              </a:solidFill>
              <a:latin typeface="Arial" panose="020B0604020202020204" pitchFamily="34" charset="0"/>
              <a:cs typeface="Arial" panose="020B0604020202020204" pitchFamily="34" charset="0"/>
            </a:rPr>
            <a:t>Click</a:t>
          </a:r>
          <a:r>
            <a:rPr lang="en-GB" sz="1200" b="1" baseline="0">
              <a:solidFill>
                <a:schemeClr val="bg1"/>
              </a:solidFill>
              <a:latin typeface="Arial" panose="020B0604020202020204" pitchFamily="34" charset="0"/>
              <a:cs typeface="Arial" panose="020B0604020202020204" pitchFamily="34" charset="0"/>
            </a:rPr>
            <a:t> </a:t>
          </a:r>
          <a:r>
            <a:rPr lang="en-GB" sz="1200" b="1" u="sng" baseline="0">
              <a:solidFill>
                <a:schemeClr val="bg1"/>
              </a:solidFill>
              <a:latin typeface="Arial" panose="020B0604020202020204" pitchFamily="34" charset="0"/>
              <a:cs typeface="Arial" panose="020B0604020202020204" pitchFamily="34" charset="0"/>
            </a:rPr>
            <a:t>here</a:t>
          </a:r>
          <a:r>
            <a:rPr lang="en-GB" sz="1200" b="1" baseline="0">
              <a:solidFill>
                <a:schemeClr val="bg1"/>
              </a:solidFill>
              <a:latin typeface="Arial" panose="020B0604020202020204" pitchFamily="34" charset="0"/>
              <a:cs typeface="Arial" panose="020B0604020202020204" pitchFamily="34" charset="0"/>
            </a:rPr>
            <a:t> to view the Diagrams of Results</a:t>
          </a:r>
          <a:endParaRPr lang="en-GB"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99525</xdr:colOff>
      <xdr:row>143</xdr:row>
      <xdr:rowOff>125782</xdr:rowOff>
    </xdr:from>
    <xdr:to>
      <xdr:col>1</xdr:col>
      <xdr:colOff>1743327</xdr:colOff>
      <xdr:row>148</xdr:row>
      <xdr:rowOff>0</xdr:rowOff>
    </xdr:to>
    <xdr:sp macro="" textlink="">
      <xdr:nvSpPr>
        <xdr:cNvPr id="8" name="Rounded Rectangle 10">
          <a:hlinkClick xmlns:r="http://schemas.openxmlformats.org/officeDocument/2006/relationships" r:id="rId3"/>
          <a:extLst>
            <a:ext uri="{FF2B5EF4-FFF2-40B4-BE49-F238E27FC236}">
              <a16:creationId xmlns:a16="http://schemas.microsoft.com/office/drawing/2014/main" id="{A5F785F4-16D3-40FC-A012-142BA100E2FC}"/>
            </a:ext>
          </a:extLst>
        </xdr:cNvPr>
        <xdr:cNvSpPr/>
      </xdr:nvSpPr>
      <xdr:spPr>
        <a:xfrm>
          <a:off x="321775" y="96074282"/>
          <a:ext cx="1643802" cy="1104531"/>
        </a:xfrm>
        <a:prstGeom prst="round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lt1"/>
              </a:solidFill>
              <a:effectLst/>
              <a:latin typeface="Arial" panose="020B0604020202020204" pitchFamily="34" charset="0"/>
              <a:ea typeface="+mn-ea"/>
              <a:cs typeface="Arial" panose="020B0604020202020204" pitchFamily="34" charset="0"/>
            </a:rPr>
            <a:t>Click </a:t>
          </a:r>
          <a:r>
            <a:rPr lang="en-GB" sz="1200" b="1" u="sng">
              <a:solidFill>
                <a:schemeClr val="lt1"/>
              </a:solidFill>
              <a:effectLst/>
              <a:latin typeface="Arial" panose="020B0604020202020204" pitchFamily="34" charset="0"/>
              <a:ea typeface="+mn-ea"/>
              <a:cs typeface="Arial" panose="020B0604020202020204" pitchFamily="34" charset="0"/>
            </a:rPr>
            <a:t>here</a:t>
          </a:r>
          <a:r>
            <a:rPr lang="en-GB" sz="1200" b="1">
              <a:solidFill>
                <a:schemeClr val="lt1"/>
              </a:solidFill>
              <a:effectLst/>
              <a:latin typeface="Arial" panose="020B0604020202020204" pitchFamily="34" charset="0"/>
              <a:ea typeface="+mn-ea"/>
              <a:cs typeface="Arial" panose="020B0604020202020204" pitchFamily="34" charset="0"/>
            </a:rPr>
            <a:t> to return to the Previous</a:t>
          </a:r>
          <a:r>
            <a:rPr lang="en-GB" sz="1200" b="1" baseline="0">
              <a:solidFill>
                <a:schemeClr val="lt1"/>
              </a:solidFill>
              <a:effectLst/>
              <a:latin typeface="Arial" panose="020B0604020202020204" pitchFamily="34" charset="0"/>
              <a:ea typeface="+mn-ea"/>
              <a:cs typeface="Arial" panose="020B0604020202020204" pitchFamily="34" charset="0"/>
            </a:rPr>
            <a:t> page</a:t>
          </a:r>
          <a:endParaRPr lang="en-GB" sz="1600">
            <a:effectLst/>
            <a:latin typeface="Arial" panose="020B0604020202020204" pitchFamily="34" charset="0"/>
            <a:cs typeface="Arial" panose="020B0604020202020204" pitchFamily="34" charset="0"/>
          </a:endParaRPr>
        </a:p>
      </xdr:txBody>
    </xdr:sp>
    <xdr:clientData/>
  </xdr:twoCellAnchor>
  <xdr:twoCellAnchor>
    <xdr:from>
      <xdr:col>6</xdr:col>
      <xdr:colOff>206375</xdr:colOff>
      <xdr:row>19</xdr:row>
      <xdr:rowOff>75720</xdr:rowOff>
    </xdr:from>
    <xdr:to>
      <xdr:col>7</xdr:col>
      <xdr:colOff>1694961</xdr:colOff>
      <xdr:row>23</xdr:row>
      <xdr:rowOff>95870</xdr:rowOff>
    </xdr:to>
    <xdr:sp macro="" textlink="">
      <xdr:nvSpPr>
        <xdr:cNvPr id="10" name="Rounded Rectangle 6">
          <a:extLst>
            <a:ext uri="{FF2B5EF4-FFF2-40B4-BE49-F238E27FC236}">
              <a16:creationId xmlns:a16="http://schemas.microsoft.com/office/drawing/2014/main" id="{99767331-D75B-430C-AB0A-3C05291E7710}"/>
            </a:ext>
          </a:extLst>
        </xdr:cNvPr>
        <xdr:cNvSpPr/>
      </xdr:nvSpPr>
      <xdr:spPr>
        <a:xfrm>
          <a:off x="6635750" y="5163658"/>
          <a:ext cx="3218961" cy="1218712"/>
        </a:xfrm>
        <a:prstGeom prst="roundRect">
          <a:avLst/>
        </a:prstGeom>
        <a:noFill/>
        <a:ln>
          <a:solidFill>
            <a:schemeClr val="accent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accent1">
                  <a:lumMod val="75000"/>
                </a:schemeClr>
              </a:solidFill>
              <a:latin typeface="Arial" panose="020B0604020202020204" pitchFamily="34" charset="0"/>
              <a:cs typeface="Arial" panose="020B0604020202020204" pitchFamily="34" charset="0"/>
            </a:rPr>
            <a:t>Print the tables</a:t>
          </a:r>
          <a:endParaRPr lang="en-GB" sz="1100" b="1">
            <a:solidFill>
              <a:schemeClr val="accent1">
                <a:lumMod val="75000"/>
              </a:schemeClr>
            </a:solidFill>
            <a:latin typeface="Arial" panose="020B0604020202020204" pitchFamily="34" charset="0"/>
            <a:cs typeface="Arial" panose="020B0604020202020204" pitchFamily="34" charset="0"/>
          </a:endParaRPr>
        </a:p>
        <a:p>
          <a:pPr algn="ctr"/>
          <a:r>
            <a:rPr lang="en-GB" sz="1050" b="0">
              <a:solidFill>
                <a:schemeClr val="accent1">
                  <a:lumMod val="75000"/>
                </a:schemeClr>
              </a:solidFill>
              <a:latin typeface="Arial" panose="020B0604020202020204" pitchFamily="34" charset="0"/>
              <a:cs typeface="Arial" panose="020B0604020202020204" pitchFamily="34" charset="0"/>
            </a:rPr>
            <a:t>It</a:t>
          </a:r>
          <a:r>
            <a:rPr lang="en-GB" sz="1050" b="0" baseline="0">
              <a:solidFill>
                <a:schemeClr val="accent1">
                  <a:lumMod val="75000"/>
                </a:schemeClr>
              </a:solidFill>
              <a:latin typeface="Arial" panose="020B0604020202020204" pitchFamily="34" charset="0"/>
              <a:cs typeface="Arial" panose="020B0604020202020204" pitchFamily="34" charset="0"/>
            </a:rPr>
            <a:t> is not a requirement but y</a:t>
          </a:r>
          <a:r>
            <a:rPr lang="en-GB" sz="1050" b="0">
              <a:solidFill>
                <a:schemeClr val="accent1">
                  <a:lumMod val="75000"/>
                </a:schemeClr>
              </a:solidFill>
              <a:latin typeface="Arial" panose="020B0604020202020204" pitchFamily="34" charset="0"/>
              <a:cs typeface="Arial" panose="020B0604020202020204" pitchFamily="34" charset="0"/>
            </a:rPr>
            <a:t>ou</a:t>
          </a:r>
          <a:r>
            <a:rPr lang="en-GB" sz="1050" b="0" baseline="0">
              <a:solidFill>
                <a:schemeClr val="accent1">
                  <a:lumMod val="75000"/>
                </a:schemeClr>
              </a:solidFill>
              <a:latin typeface="Arial" panose="020B0604020202020204" pitchFamily="34" charset="0"/>
              <a:cs typeface="Arial" panose="020B0604020202020204" pitchFamily="34" charset="0"/>
            </a:rPr>
            <a:t> may wish to print Benchmark 1 &amp; 2 for your own records. </a:t>
          </a:r>
        </a:p>
        <a:p>
          <a:pPr algn="ctr"/>
          <a:endParaRPr lang="en-GB" sz="1050" b="0" baseline="0">
            <a:solidFill>
              <a:schemeClr val="accent1">
                <a:lumMod val="75000"/>
              </a:schemeClr>
            </a:solidFill>
            <a:latin typeface="Arial" panose="020B0604020202020204" pitchFamily="34" charset="0"/>
            <a:cs typeface="Arial" panose="020B0604020202020204" pitchFamily="34" charset="0"/>
          </a:endParaRPr>
        </a:p>
        <a:p>
          <a:pPr algn="ctr"/>
          <a:r>
            <a:rPr lang="en-GB" sz="1050" b="0" baseline="0">
              <a:solidFill>
                <a:schemeClr val="accent1">
                  <a:lumMod val="75000"/>
                </a:schemeClr>
              </a:solidFill>
              <a:latin typeface="Arial" panose="020B0604020202020204" pitchFamily="34" charset="0"/>
              <a:cs typeface="Arial" panose="020B0604020202020204" pitchFamily="34" charset="0"/>
            </a:rPr>
            <a:t>To print both tables, please click "File" in the top left corner and then print.</a:t>
          </a:r>
          <a:endParaRPr lang="en-GB" sz="1050" b="0">
            <a:solidFill>
              <a:schemeClr val="accent1">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123033</xdr:colOff>
      <xdr:row>42</xdr:row>
      <xdr:rowOff>41008</xdr:rowOff>
    </xdr:from>
    <xdr:to>
      <xdr:col>9</xdr:col>
      <xdr:colOff>55564</xdr:colOff>
      <xdr:row>54</xdr:row>
      <xdr:rowOff>103187</xdr:rowOff>
    </xdr:to>
    <xdr:sp macro="" textlink="">
      <xdr:nvSpPr>
        <xdr:cNvPr id="2" name="Rounded Rectangle 6">
          <a:extLst>
            <a:ext uri="{FF2B5EF4-FFF2-40B4-BE49-F238E27FC236}">
              <a16:creationId xmlns:a16="http://schemas.microsoft.com/office/drawing/2014/main" id="{00000000-0008-0000-0800-000002000000}"/>
            </a:ext>
          </a:extLst>
        </xdr:cNvPr>
        <xdr:cNvSpPr/>
      </xdr:nvSpPr>
      <xdr:spPr>
        <a:xfrm>
          <a:off x="7917658" y="6883133"/>
          <a:ext cx="2377281" cy="1967179"/>
        </a:xfrm>
        <a:prstGeom prst="roundRect">
          <a:avLst/>
        </a:prstGeom>
        <a:solidFill>
          <a:schemeClr val="accent1">
            <a:lumMod val="75000"/>
          </a:schemeClr>
        </a:solidFill>
        <a:ln>
          <a:solidFill>
            <a:schemeClr val="accent1">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bg1"/>
              </a:solidFill>
              <a:latin typeface="Arial" panose="020B0604020202020204" pitchFamily="34" charset="0"/>
              <a:cs typeface="Arial" panose="020B0604020202020204" pitchFamily="34" charset="0"/>
            </a:rPr>
            <a:t>Print the graphs</a:t>
          </a:r>
        </a:p>
        <a:p>
          <a:pPr algn="ctr"/>
          <a:endParaRPr lang="en-GB" sz="1200" b="1">
            <a:solidFill>
              <a:schemeClr val="bg1"/>
            </a:solidFill>
            <a:latin typeface="Arial" panose="020B0604020202020204" pitchFamily="34" charset="0"/>
            <a:cs typeface="Arial" panose="020B0604020202020204" pitchFamily="34" charset="0"/>
          </a:endParaRPr>
        </a:p>
        <a:p>
          <a:pPr algn="ctr"/>
          <a:r>
            <a:rPr lang="en-GB" sz="1050" b="0">
              <a:solidFill>
                <a:schemeClr val="bg1"/>
              </a:solidFill>
              <a:latin typeface="Arial" panose="020B0604020202020204" pitchFamily="34" charset="0"/>
              <a:cs typeface="Arial" panose="020B0604020202020204" pitchFamily="34" charset="0"/>
            </a:rPr>
            <a:t>It</a:t>
          </a:r>
          <a:r>
            <a:rPr lang="en-GB" sz="1050" b="0" baseline="0">
              <a:solidFill>
                <a:schemeClr val="bg1"/>
              </a:solidFill>
              <a:latin typeface="Arial" panose="020B0604020202020204" pitchFamily="34" charset="0"/>
              <a:cs typeface="Arial" panose="020B0604020202020204" pitchFamily="34" charset="0"/>
            </a:rPr>
            <a:t> is not a requirement but y</a:t>
          </a:r>
          <a:r>
            <a:rPr lang="en-GB" sz="1050" b="0">
              <a:solidFill>
                <a:schemeClr val="bg1"/>
              </a:solidFill>
              <a:latin typeface="Arial" panose="020B0604020202020204" pitchFamily="34" charset="0"/>
              <a:cs typeface="Arial" panose="020B0604020202020204" pitchFamily="34" charset="0"/>
            </a:rPr>
            <a:t>ou</a:t>
          </a:r>
          <a:r>
            <a:rPr lang="en-GB" sz="1050" b="0" baseline="0">
              <a:solidFill>
                <a:schemeClr val="bg1"/>
              </a:solidFill>
              <a:latin typeface="Arial" panose="020B0604020202020204" pitchFamily="34" charset="0"/>
              <a:cs typeface="Arial" panose="020B0604020202020204" pitchFamily="34" charset="0"/>
            </a:rPr>
            <a:t> may wish to print the graphs for your own records. </a:t>
          </a:r>
        </a:p>
        <a:p>
          <a:pPr algn="ctr"/>
          <a:endParaRPr lang="en-GB" sz="1050" b="0" baseline="0">
            <a:solidFill>
              <a:schemeClr val="bg1"/>
            </a:solidFill>
            <a:latin typeface="Arial" panose="020B0604020202020204" pitchFamily="34" charset="0"/>
            <a:cs typeface="Arial" panose="020B0604020202020204" pitchFamily="34" charset="0"/>
          </a:endParaRPr>
        </a:p>
        <a:p>
          <a:pPr algn="ctr"/>
          <a:r>
            <a:rPr lang="en-GB" sz="1050" b="0" baseline="0">
              <a:solidFill>
                <a:schemeClr val="bg1"/>
              </a:solidFill>
              <a:latin typeface="Arial" panose="020B0604020202020204" pitchFamily="34" charset="0"/>
              <a:cs typeface="Arial" panose="020B0604020202020204" pitchFamily="34" charset="0"/>
            </a:rPr>
            <a:t>To print the graphs, please click "File" in the top left corner and then print.</a:t>
          </a:r>
          <a:endParaRPr lang="en-GB" sz="1050" b="0">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55561</xdr:colOff>
      <xdr:row>81</xdr:row>
      <xdr:rowOff>75407</xdr:rowOff>
    </xdr:from>
    <xdr:to>
      <xdr:col>4</xdr:col>
      <xdr:colOff>388937</xdr:colOff>
      <xdr:row>107</xdr:row>
      <xdr:rowOff>127001</xdr:rowOff>
    </xdr:to>
    <xdr:graphicFrame macro="">
      <xdr:nvGraphicFramePr>
        <xdr:cNvPr id="17" name="Chart 16">
          <a:extLst>
            <a:ext uri="{FF2B5EF4-FFF2-40B4-BE49-F238E27FC236}">
              <a16:creationId xmlns:a16="http://schemas.microsoft.com/office/drawing/2014/main" id="{018A0F98-1E5A-4A84-9870-8807BDCB1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85985</xdr:colOff>
      <xdr:row>42</xdr:row>
      <xdr:rowOff>83342</xdr:rowOff>
    </xdr:from>
    <xdr:to>
      <xdr:col>4</xdr:col>
      <xdr:colOff>309562</xdr:colOff>
      <xdr:row>67</xdr:row>
      <xdr:rowOff>134937</xdr:rowOff>
    </xdr:to>
    <xdr:graphicFrame macro="">
      <xdr:nvGraphicFramePr>
        <xdr:cNvPr id="19" name="Chart 18">
          <a:extLst>
            <a:ext uri="{FF2B5EF4-FFF2-40B4-BE49-F238E27FC236}">
              <a16:creationId xmlns:a16="http://schemas.microsoft.com/office/drawing/2014/main" id="{A75F9799-61BF-4BBF-97B8-25B0ECC34B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100279</xdr:colOff>
      <xdr:row>119</xdr:row>
      <xdr:rowOff>100275</xdr:rowOff>
    </xdr:from>
    <xdr:to>
      <xdr:col>4</xdr:col>
      <xdr:colOff>404812</xdr:colOff>
      <xdr:row>145</xdr:row>
      <xdr:rowOff>87313</xdr:rowOff>
    </xdr:to>
    <xdr:graphicFrame macro="">
      <xdr:nvGraphicFramePr>
        <xdr:cNvPr id="7" name="Chart 6">
          <a:extLst>
            <a:ext uri="{FF2B5EF4-FFF2-40B4-BE49-F238E27FC236}">
              <a16:creationId xmlns:a16="http://schemas.microsoft.com/office/drawing/2014/main"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15875</xdr:colOff>
      <xdr:row>153</xdr:row>
      <xdr:rowOff>79375</xdr:rowOff>
    </xdr:from>
    <xdr:to>
      <xdr:col>5</xdr:col>
      <xdr:colOff>87313</xdr:colOff>
      <xdr:row>187</xdr:row>
      <xdr:rowOff>150813</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7E4F9529-21D1-DF35-AFDB-CBD93168673B}"/>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15875" y="25158700"/>
              <a:ext cx="7862888" cy="5576888"/>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4</xdr:col>
      <xdr:colOff>609070</xdr:colOff>
      <xdr:row>1</xdr:row>
      <xdr:rowOff>71438</xdr:rowOff>
    </xdr:from>
    <xdr:to>
      <xdr:col>8</xdr:col>
      <xdr:colOff>550332</xdr:colOff>
      <xdr:row>5</xdr:row>
      <xdr:rowOff>148835</xdr:rowOff>
    </xdr:to>
    <xdr:pic>
      <xdr:nvPicPr>
        <xdr:cNvPr id="4" name="Picture 3" descr="College of Agriculture, Food and Rural Enterprise | CAFRE">
          <a:extLst>
            <a:ext uri="{FF2B5EF4-FFF2-40B4-BE49-F238E27FC236}">
              <a16:creationId xmlns:a16="http://schemas.microsoft.com/office/drawing/2014/main" id="{89C1B9E9-F8FF-4ED4-8538-7AC706F8388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92508" y="230188"/>
          <a:ext cx="2386012" cy="8870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346076</xdr:colOff>
      <xdr:row>0</xdr:row>
      <xdr:rowOff>133352</xdr:rowOff>
    </xdr:from>
    <xdr:to>
      <xdr:col>1</xdr:col>
      <xdr:colOff>1090613</xdr:colOff>
      <xdr:row>2</xdr:row>
      <xdr:rowOff>151672</xdr:rowOff>
    </xdr:to>
    <xdr:pic>
      <xdr:nvPicPr>
        <xdr:cNvPr id="9" name="Picture 8" descr="College of Agriculture, Food and Rural Enterprise | CAFRE">
          <a:extLst>
            <a:ext uri="{FF2B5EF4-FFF2-40B4-BE49-F238E27FC236}">
              <a16:creationId xmlns:a16="http://schemas.microsoft.com/office/drawing/2014/main" id="{50EF0BE8-B921-4E49-B9DA-8C52D93F5C6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46076" y="133352"/>
          <a:ext cx="1355725" cy="510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184150</xdr:colOff>
      <xdr:row>38</xdr:row>
      <xdr:rowOff>96837</xdr:rowOff>
    </xdr:from>
    <xdr:to>
      <xdr:col>1</xdr:col>
      <xdr:colOff>928687</xdr:colOff>
      <xdr:row>41</xdr:row>
      <xdr:rowOff>124682</xdr:rowOff>
    </xdr:to>
    <xdr:pic>
      <xdr:nvPicPr>
        <xdr:cNvPr id="10" name="Picture 9" descr="College of Agriculture, Food and Rural Enterprise | CAFRE">
          <a:extLst>
            <a:ext uri="{FF2B5EF4-FFF2-40B4-BE49-F238E27FC236}">
              <a16:creationId xmlns:a16="http://schemas.microsoft.com/office/drawing/2014/main" id="{73E06F73-B4AC-47F3-8170-0895CAE26DF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84150" y="6303962"/>
          <a:ext cx="1355725" cy="504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152400</xdr:colOff>
      <xdr:row>77</xdr:row>
      <xdr:rowOff>85725</xdr:rowOff>
    </xdr:from>
    <xdr:to>
      <xdr:col>1</xdr:col>
      <xdr:colOff>896937</xdr:colOff>
      <xdr:row>80</xdr:row>
      <xdr:rowOff>113570</xdr:rowOff>
    </xdr:to>
    <xdr:pic>
      <xdr:nvPicPr>
        <xdr:cNvPr id="11" name="Picture 10" descr="College of Agriculture, Food and Rural Enterprise | CAFRE">
          <a:extLst>
            <a:ext uri="{FF2B5EF4-FFF2-40B4-BE49-F238E27FC236}">
              <a16:creationId xmlns:a16="http://schemas.microsoft.com/office/drawing/2014/main" id="{A971D7D3-ACF3-4CFC-B3E8-58154E4A162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400" y="12792075"/>
          <a:ext cx="1352550" cy="513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115</xdr:row>
      <xdr:rowOff>152400</xdr:rowOff>
    </xdr:from>
    <xdr:to>
      <xdr:col>1</xdr:col>
      <xdr:colOff>935037</xdr:colOff>
      <xdr:row>119</xdr:row>
      <xdr:rowOff>18320</xdr:rowOff>
    </xdr:to>
    <xdr:pic>
      <xdr:nvPicPr>
        <xdr:cNvPr id="12" name="Picture 11" descr="College of Agriculture, Food and Rural Enterprise | CAFRE">
          <a:extLst>
            <a:ext uri="{FF2B5EF4-FFF2-40B4-BE49-F238E27FC236}">
              <a16:creationId xmlns:a16="http://schemas.microsoft.com/office/drawing/2014/main" id="{07B81454-D6D3-4514-A3C8-EE809F06CBB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90500" y="19011900"/>
          <a:ext cx="1352550" cy="513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152400</xdr:colOff>
      <xdr:row>153</xdr:row>
      <xdr:rowOff>142875</xdr:rowOff>
    </xdr:from>
    <xdr:to>
      <xdr:col>1</xdr:col>
      <xdr:colOff>896937</xdr:colOff>
      <xdr:row>157</xdr:row>
      <xdr:rowOff>8795</xdr:rowOff>
    </xdr:to>
    <xdr:pic>
      <xdr:nvPicPr>
        <xdr:cNvPr id="13" name="Picture 12" descr="College of Agriculture, Food and Rural Enterprise | CAFRE">
          <a:extLst>
            <a:ext uri="{FF2B5EF4-FFF2-40B4-BE49-F238E27FC236}">
              <a16:creationId xmlns:a16="http://schemas.microsoft.com/office/drawing/2014/main" id="{F2E0E0B7-C24C-4D97-A36D-692A178E0D5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400" y="25222200"/>
          <a:ext cx="1352550" cy="513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87314</xdr:colOff>
      <xdr:row>22</xdr:row>
      <xdr:rowOff>7937</xdr:rowOff>
    </xdr:from>
    <xdr:to>
      <xdr:col>9</xdr:col>
      <xdr:colOff>23814</xdr:colOff>
      <xdr:row>40</xdr:row>
      <xdr:rowOff>95250</xdr:rowOff>
    </xdr:to>
    <xdr:sp macro="" textlink="">
      <xdr:nvSpPr>
        <xdr:cNvPr id="14" name="Rounded Rectangle 1">
          <a:hlinkClick xmlns:r="http://schemas.openxmlformats.org/officeDocument/2006/relationships" r:id="rId6"/>
          <a:extLst>
            <a:ext uri="{FF2B5EF4-FFF2-40B4-BE49-F238E27FC236}">
              <a16:creationId xmlns:a16="http://schemas.microsoft.com/office/drawing/2014/main" id="{072175C9-BE4F-48FB-B6AF-79C4599FB174}"/>
            </a:ext>
          </a:extLst>
        </xdr:cNvPr>
        <xdr:cNvSpPr/>
      </xdr:nvSpPr>
      <xdr:spPr>
        <a:xfrm>
          <a:off x="7881939" y="3675062"/>
          <a:ext cx="2381250" cy="2944813"/>
        </a:xfrm>
        <a:prstGeom prst="roundRect">
          <a:avLst/>
        </a:prstGeom>
        <a:solidFill>
          <a:schemeClr val="accent1">
            <a:lumMod val="75000"/>
          </a:schemeClr>
        </a:solidFill>
        <a:ln>
          <a:solidFill>
            <a:schemeClr val="accent1">
              <a:lumMod val="75000"/>
            </a:schemeClr>
          </a:solid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vert="horz" rtlCol="0" anchor="ctr"/>
        <a:lstStyle/>
        <a:p>
          <a:pPr algn="ctr"/>
          <a:r>
            <a:rPr lang="en-GB" sz="1050">
              <a:solidFill>
                <a:schemeClr val="bg1"/>
              </a:solidFill>
              <a:latin typeface="Arial" panose="020B0604020202020204" pitchFamily="34" charset="0"/>
              <a:cs typeface="Arial" panose="020B0604020202020204" pitchFamily="34" charset="0"/>
            </a:rPr>
            <a:t>To allow CAFRE staff to compare and analyse results from a range of different farms, please</a:t>
          </a:r>
          <a:r>
            <a:rPr lang="en-GB" sz="1050" baseline="0">
              <a:solidFill>
                <a:schemeClr val="bg1"/>
              </a:solidFill>
              <a:latin typeface="Arial" panose="020B0604020202020204" pitchFamily="34" charset="0"/>
              <a:cs typeface="Arial" panose="020B0604020202020204" pitchFamily="34" charset="0"/>
            </a:rPr>
            <a:t> </a:t>
          </a:r>
          <a:r>
            <a:rPr lang="en-GB" sz="1050" u="sng" baseline="0">
              <a:solidFill>
                <a:schemeClr val="bg1"/>
              </a:solidFill>
              <a:latin typeface="Arial" panose="020B0604020202020204" pitchFamily="34" charset="0"/>
              <a:cs typeface="Arial" panose="020B0604020202020204" pitchFamily="34" charset="0"/>
            </a:rPr>
            <a:t>click here</a:t>
          </a:r>
          <a:r>
            <a:rPr lang="en-GB" sz="1050" u="none" baseline="0">
              <a:solidFill>
                <a:schemeClr val="bg1"/>
              </a:solidFill>
              <a:latin typeface="Arial" panose="020B0604020202020204" pitchFamily="34" charset="0"/>
              <a:cs typeface="Arial" panose="020B0604020202020204" pitchFamily="34" charset="0"/>
            </a:rPr>
            <a:t> </a:t>
          </a:r>
          <a:r>
            <a:rPr lang="en-GB" sz="1050" baseline="0">
              <a:solidFill>
                <a:schemeClr val="bg1"/>
              </a:solidFill>
              <a:latin typeface="Arial" panose="020B0604020202020204" pitchFamily="34" charset="0"/>
              <a:cs typeface="Arial" panose="020B0604020202020204" pitchFamily="34" charset="0"/>
            </a:rPr>
            <a:t>to email your completed assessment tool to: </a:t>
          </a:r>
          <a:r>
            <a:rPr lang="en-GB" sz="1050" b="1" u="sng">
              <a:solidFill>
                <a:srgbClr val="FFFF7D"/>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CAFREFarmBioTool@cafre.ac.uk</a:t>
          </a:r>
          <a:endParaRPr lang="en-GB" sz="1050" b="1" u="sng">
            <a:solidFill>
              <a:srgbClr val="FFFF7D"/>
            </a:solidFill>
            <a:effectLst/>
            <a:latin typeface="Arial" panose="020B0604020202020204" pitchFamily="34" charset="0"/>
            <a:ea typeface="+mn-ea"/>
            <a:cs typeface="Arial" panose="020B0604020202020204" pitchFamily="34" charset="0"/>
          </a:endParaRPr>
        </a:p>
        <a:p>
          <a:pPr algn="ctr"/>
          <a:endParaRPr lang="en-GB" sz="1050" b="1" u="sng">
            <a:solidFill>
              <a:srgbClr val="FFFF7D"/>
            </a:solidFill>
            <a:effectLst/>
            <a:latin typeface="Arial" panose="020B0604020202020204" pitchFamily="34" charset="0"/>
            <a:ea typeface="+mn-ea"/>
            <a:cs typeface="Arial" panose="020B0604020202020204" pitchFamily="34" charset="0"/>
          </a:endParaRPr>
        </a:p>
        <a:p>
          <a:pPr algn="ctr"/>
          <a:r>
            <a:rPr lang="en-GB" sz="1050" b="0" u="none">
              <a:solidFill>
                <a:schemeClr val="bg1"/>
              </a:solidFill>
              <a:effectLst/>
              <a:latin typeface="Arial" panose="020B0604020202020204" pitchFamily="34" charset="0"/>
              <a:ea typeface="+mn-ea"/>
              <a:cs typeface="Arial" panose="020B0604020202020204" pitchFamily="34" charset="0"/>
            </a:rPr>
            <a:t>The information that you have provided in this tool </a:t>
          </a:r>
          <a:r>
            <a:rPr lang="en-GB" sz="1050" b="1" u="none">
              <a:solidFill>
                <a:schemeClr val="bg1"/>
              </a:solidFill>
              <a:effectLst/>
              <a:latin typeface="Arial" panose="020B0604020202020204" pitchFamily="34" charset="0"/>
              <a:ea typeface="+mn-ea"/>
              <a:cs typeface="Arial" panose="020B0604020202020204" pitchFamily="34" charset="0"/>
            </a:rPr>
            <a:t>will not </a:t>
          </a:r>
          <a:r>
            <a:rPr lang="en-GB" sz="1050" b="0" u="none">
              <a:solidFill>
                <a:schemeClr val="bg1"/>
              </a:solidFill>
              <a:effectLst/>
              <a:latin typeface="Arial" panose="020B0604020202020204" pitchFamily="34" charset="0"/>
              <a:ea typeface="+mn-ea"/>
              <a:cs typeface="Arial" panose="020B0604020202020204" pitchFamily="34" charset="0"/>
            </a:rPr>
            <a:t>be linked to your</a:t>
          </a:r>
          <a:r>
            <a:rPr lang="en-GB" sz="1050" b="0" u="none" baseline="0">
              <a:solidFill>
                <a:schemeClr val="bg1"/>
              </a:solidFill>
              <a:effectLst/>
              <a:latin typeface="Arial" panose="020B0604020202020204" pitchFamily="34" charset="0"/>
              <a:ea typeface="+mn-ea"/>
              <a:cs typeface="Arial" panose="020B0604020202020204" pitchFamily="34" charset="0"/>
            </a:rPr>
            <a:t> DAERA farm business number.</a:t>
          </a:r>
        </a:p>
        <a:p>
          <a:pPr algn="ctr"/>
          <a:endParaRPr lang="en-GB" sz="1050" b="0" u="none" baseline="0">
            <a:solidFill>
              <a:schemeClr val="bg1"/>
            </a:solidFill>
            <a:effectLst/>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GB" sz="1050" b="0" baseline="0">
              <a:solidFill>
                <a:schemeClr val="lt1"/>
              </a:solidFill>
              <a:effectLst/>
              <a:latin typeface="Arial" panose="020B0604020202020204" pitchFamily="34" charset="0"/>
              <a:ea typeface="+mn-ea"/>
              <a:cs typeface="Arial" panose="020B0604020202020204" pitchFamily="34" charset="0"/>
            </a:rPr>
            <a:t>Please </a:t>
          </a:r>
          <a:r>
            <a:rPr lang="en-GB" sz="1050" b="0" u="sng" baseline="0">
              <a:solidFill>
                <a:schemeClr val="lt1"/>
              </a:solidFill>
              <a:effectLst/>
              <a:latin typeface="Arial" panose="020B0604020202020204" pitchFamily="34" charset="0"/>
              <a:ea typeface="+mn-ea"/>
              <a:cs typeface="Arial" panose="020B0604020202020204" pitchFamily="34" charset="0"/>
            </a:rPr>
            <a:t>click here</a:t>
          </a:r>
          <a:r>
            <a:rPr lang="en-GB" sz="1050" b="0" baseline="0">
              <a:solidFill>
                <a:schemeClr val="lt1"/>
              </a:solidFill>
              <a:effectLst/>
              <a:latin typeface="Arial" panose="020B0604020202020204" pitchFamily="34" charset="0"/>
              <a:ea typeface="+mn-ea"/>
              <a:cs typeface="Arial" panose="020B0604020202020204" pitchFamily="34" charset="0"/>
            </a:rPr>
            <a:t> to send a query to the CAFRE team.</a:t>
          </a:r>
          <a:endParaRPr lang="en-GB" sz="1050">
            <a:effectLst/>
            <a:latin typeface="Arial" panose="020B0604020202020204" pitchFamily="34" charset="0"/>
            <a:cs typeface="Arial" panose="020B0604020202020204" pitchFamily="34" charset="0"/>
          </a:endParaRPr>
        </a:p>
      </xdr:txBody>
    </xdr:sp>
    <xdr:clientData/>
  </xdr:twoCellAnchor>
  <xdr:twoCellAnchor>
    <xdr:from>
      <xdr:col>1</xdr:col>
      <xdr:colOff>169069</xdr:colOff>
      <xdr:row>191</xdr:row>
      <xdr:rowOff>96837</xdr:rowOff>
    </xdr:from>
    <xdr:to>
      <xdr:col>4</xdr:col>
      <xdr:colOff>27781</xdr:colOff>
      <xdr:row>199</xdr:row>
      <xdr:rowOff>150813</xdr:rowOff>
    </xdr:to>
    <xdr:sp macro="" textlink="">
      <xdr:nvSpPr>
        <xdr:cNvPr id="15" name="Rounded Rectangle 1">
          <a:hlinkClick xmlns:r="http://schemas.openxmlformats.org/officeDocument/2006/relationships" r:id="rId6"/>
          <a:extLst>
            <a:ext uri="{FF2B5EF4-FFF2-40B4-BE49-F238E27FC236}">
              <a16:creationId xmlns:a16="http://schemas.microsoft.com/office/drawing/2014/main" id="{5F1D726C-B532-48DE-8105-72FFFD2BAA41}"/>
            </a:ext>
          </a:extLst>
        </xdr:cNvPr>
        <xdr:cNvSpPr/>
      </xdr:nvSpPr>
      <xdr:spPr>
        <a:xfrm>
          <a:off x="780257" y="30735587"/>
          <a:ext cx="6430962" cy="1323976"/>
        </a:xfrm>
        <a:prstGeom prst="roundRect">
          <a:avLst/>
        </a:prstGeom>
        <a:solidFill>
          <a:schemeClr val="accent1">
            <a:lumMod val="75000"/>
          </a:schemeClr>
        </a:solidFill>
        <a:ln>
          <a:solidFill>
            <a:schemeClr val="accent1">
              <a:lumMod val="75000"/>
            </a:schemeClr>
          </a:solidFill>
        </a:ln>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vert="horz" rtlCol="0" anchor="ctr"/>
        <a:lstStyle/>
        <a:p>
          <a:pPr algn="ctr"/>
          <a:r>
            <a:rPr lang="en-GB" sz="1200">
              <a:solidFill>
                <a:schemeClr val="bg1"/>
              </a:solidFill>
              <a:latin typeface="Arial" panose="020B0604020202020204" pitchFamily="34" charset="0"/>
              <a:cs typeface="Arial" panose="020B0604020202020204" pitchFamily="34" charset="0"/>
            </a:rPr>
            <a:t>To allow CAFRE staff to compare and analyse results from a range of different farms,</a:t>
          </a:r>
          <a:r>
            <a:rPr lang="en-GB" sz="1200" baseline="0">
              <a:solidFill>
                <a:schemeClr val="bg1"/>
              </a:solidFill>
              <a:latin typeface="Arial" panose="020B0604020202020204" pitchFamily="34" charset="0"/>
              <a:cs typeface="Arial" panose="020B0604020202020204" pitchFamily="34" charset="0"/>
            </a:rPr>
            <a:t> please </a:t>
          </a:r>
          <a:r>
            <a:rPr lang="en-GB" sz="1200" u="sng" baseline="0">
              <a:solidFill>
                <a:schemeClr val="bg1"/>
              </a:solidFill>
              <a:latin typeface="Arial" panose="020B0604020202020204" pitchFamily="34" charset="0"/>
              <a:cs typeface="Arial" panose="020B0604020202020204" pitchFamily="34" charset="0"/>
            </a:rPr>
            <a:t>click here</a:t>
          </a:r>
          <a:r>
            <a:rPr lang="en-GB" sz="1200" u="none" baseline="0">
              <a:solidFill>
                <a:schemeClr val="bg1"/>
              </a:solidFill>
              <a:latin typeface="Arial" panose="020B0604020202020204" pitchFamily="34" charset="0"/>
              <a:cs typeface="Arial" panose="020B0604020202020204" pitchFamily="34" charset="0"/>
            </a:rPr>
            <a:t> </a:t>
          </a:r>
          <a:r>
            <a:rPr lang="en-GB" sz="1200" baseline="0">
              <a:solidFill>
                <a:schemeClr val="bg1"/>
              </a:solidFill>
              <a:latin typeface="Arial" panose="020B0604020202020204" pitchFamily="34" charset="0"/>
              <a:cs typeface="Arial" panose="020B0604020202020204" pitchFamily="34" charset="0"/>
            </a:rPr>
            <a:t>to email the completed assessment tool to: </a:t>
          </a:r>
          <a:r>
            <a:rPr lang="en-GB" sz="1200" b="1" u="sng">
              <a:solidFill>
                <a:srgbClr val="FFFF7D"/>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CAFREFarmBioTool@cafre.ac.uk</a:t>
          </a:r>
          <a:endParaRPr lang="en-GB" sz="1200" b="1" u="sng">
            <a:solidFill>
              <a:srgbClr val="FFFF7D"/>
            </a:solidFill>
            <a:effectLst/>
            <a:latin typeface="Arial" panose="020B0604020202020204" pitchFamily="34" charset="0"/>
            <a:ea typeface="+mn-ea"/>
            <a:cs typeface="Arial" panose="020B0604020202020204" pitchFamily="34" charset="0"/>
          </a:endParaRPr>
        </a:p>
        <a:p>
          <a:pPr algn="ctr"/>
          <a:endParaRPr lang="en-GB" sz="1200">
            <a:solidFill>
              <a:srgbClr val="FFFF7D"/>
            </a:solidFill>
            <a:latin typeface="Arial" panose="020B0604020202020204" pitchFamily="34" charset="0"/>
            <a:cs typeface="Arial" panose="020B0604020202020204" pitchFamily="34" charset="0"/>
          </a:endParaRPr>
        </a:p>
        <a:p>
          <a:pPr algn="ctr"/>
          <a:r>
            <a:rPr lang="en-GB" sz="1200">
              <a:solidFill>
                <a:schemeClr val="bg1"/>
              </a:solidFill>
              <a:latin typeface="Arial" panose="020B0604020202020204" pitchFamily="34" charset="0"/>
              <a:cs typeface="Arial" panose="020B0604020202020204" pitchFamily="34" charset="0"/>
            </a:rPr>
            <a:t>The information that you have provided in this tool will not be linked to your DAERA farm business number.</a:t>
          </a:r>
        </a:p>
      </xdr:txBody>
    </xdr:sp>
    <xdr:clientData/>
  </xdr:twoCellAnchor>
  <xdr:twoCellAnchor>
    <xdr:from>
      <xdr:col>0</xdr:col>
      <xdr:colOff>51594</xdr:colOff>
      <xdr:row>4</xdr:row>
      <xdr:rowOff>27781</xdr:rowOff>
    </xdr:from>
    <xdr:to>
      <xdr:col>4</xdr:col>
      <xdr:colOff>285750</xdr:colOff>
      <xdr:row>30</xdr:row>
      <xdr:rowOff>47625</xdr:rowOff>
    </xdr:to>
    <xdr:graphicFrame macro="">
      <xdr:nvGraphicFramePr>
        <xdr:cNvPr id="8" name="Chart 7">
          <a:extLst>
            <a:ext uri="{FF2B5EF4-FFF2-40B4-BE49-F238E27FC236}">
              <a16:creationId xmlns:a16="http://schemas.microsoft.com/office/drawing/2014/main" id="{7464DC7B-25A4-4C21-BBE0-34FD9A27A1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63500</xdr:colOff>
      <xdr:row>7</xdr:row>
      <xdr:rowOff>154784</xdr:rowOff>
    </xdr:from>
    <xdr:to>
      <xdr:col>9</xdr:col>
      <xdr:colOff>7937</xdr:colOff>
      <xdr:row>20</xdr:row>
      <xdr:rowOff>134938</xdr:rowOff>
    </xdr:to>
    <xdr:sp macro="" textlink="">
      <xdr:nvSpPr>
        <xdr:cNvPr id="6" name="Rounded Rectangle 6">
          <a:hlinkClick xmlns:r="http://schemas.openxmlformats.org/officeDocument/2006/relationships" r:id="rId8"/>
          <a:extLst>
            <a:ext uri="{FF2B5EF4-FFF2-40B4-BE49-F238E27FC236}">
              <a16:creationId xmlns:a16="http://schemas.microsoft.com/office/drawing/2014/main" id="{D3AB2D11-232E-4724-B833-186D81D620D2}"/>
            </a:ext>
          </a:extLst>
        </xdr:cNvPr>
        <xdr:cNvSpPr/>
      </xdr:nvSpPr>
      <xdr:spPr>
        <a:xfrm>
          <a:off x="7858125" y="1440659"/>
          <a:ext cx="2389187" cy="2043904"/>
        </a:xfrm>
        <a:prstGeom prst="roundRect">
          <a:avLst/>
        </a:prstGeom>
        <a:solidFill>
          <a:schemeClr val="bg1"/>
        </a:solidFill>
        <a:ln>
          <a:solidFill>
            <a:schemeClr val="accent1">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accent1">
                  <a:lumMod val="75000"/>
                </a:schemeClr>
              </a:solidFill>
              <a:latin typeface="Arial" panose="020B0604020202020204" pitchFamily="34" charset="0"/>
              <a:cs typeface="Arial" panose="020B0604020202020204" pitchFamily="34" charset="0"/>
            </a:rPr>
            <a:t>Evaluation Form</a:t>
          </a:r>
        </a:p>
        <a:p>
          <a:pPr algn="ctr"/>
          <a:r>
            <a:rPr lang="en-GB" sz="1050">
              <a:solidFill>
                <a:schemeClr val="accent1">
                  <a:lumMod val="75000"/>
                </a:schemeClr>
              </a:solidFill>
              <a:latin typeface="Arial" panose="020B0604020202020204" pitchFamily="34" charset="0"/>
              <a:cs typeface="Arial" panose="020B0604020202020204" pitchFamily="34" charset="0"/>
            </a:rPr>
            <a:t>After using the</a:t>
          </a:r>
          <a:r>
            <a:rPr lang="en-GB" sz="1050" baseline="0">
              <a:solidFill>
                <a:schemeClr val="accent1">
                  <a:lumMod val="75000"/>
                </a:schemeClr>
              </a:solidFill>
              <a:latin typeface="Arial" panose="020B0604020202020204" pitchFamily="34" charset="0"/>
              <a:cs typeface="Arial" panose="020B0604020202020204" pitchFamily="34" charset="0"/>
            </a:rPr>
            <a:t> assessment tool, pl</a:t>
          </a:r>
          <a:r>
            <a:rPr lang="en-GB" sz="1050">
              <a:solidFill>
                <a:schemeClr val="accent1">
                  <a:lumMod val="75000"/>
                </a:schemeClr>
              </a:solidFill>
              <a:latin typeface="Arial" panose="020B0604020202020204" pitchFamily="34" charset="0"/>
              <a:cs typeface="Arial" panose="020B0604020202020204" pitchFamily="34" charset="0"/>
            </a:rPr>
            <a:t>ease </a:t>
          </a:r>
          <a:r>
            <a:rPr lang="en-GB" sz="1050" b="1" u="sng">
              <a:solidFill>
                <a:schemeClr val="accent1">
                  <a:lumMod val="75000"/>
                </a:schemeClr>
              </a:solidFill>
              <a:latin typeface="Arial" panose="020B0604020202020204" pitchFamily="34" charset="0"/>
              <a:cs typeface="Arial" panose="020B0604020202020204" pitchFamily="34" charset="0"/>
            </a:rPr>
            <a:t>click here</a:t>
          </a:r>
          <a:r>
            <a:rPr lang="en-GB" sz="1050" b="1" u="none">
              <a:solidFill>
                <a:schemeClr val="accent1">
                  <a:lumMod val="75000"/>
                </a:schemeClr>
              </a:solidFill>
              <a:latin typeface="Arial" panose="020B0604020202020204" pitchFamily="34" charset="0"/>
              <a:cs typeface="Arial" panose="020B0604020202020204" pitchFamily="34" charset="0"/>
            </a:rPr>
            <a:t> </a:t>
          </a:r>
          <a:r>
            <a:rPr lang="en-GB" sz="1050">
              <a:solidFill>
                <a:schemeClr val="accent1">
                  <a:lumMod val="75000"/>
                </a:schemeClr>
              </a:solidFill>
              <a:latin typeface="Arial" panose="020B0604020202020204" pitchFamily="34" charset="0"/>
              <a:cs typeface="Arial" panose="020B0604020202020204" pitchFamily="34" charset="0"/>
            </a:rPr>
            <a:t>to complete</a:t>
          </a:r>
          <a:r>
            <a:rPr lang="en-GB" sz="1050" baseline="0">
              <a:solidFill>
                <a:schemeClr val="accent1">
                  <a:lumMod val="75000"/>
                </a:schemeClr>
              </a:solidFill>
              <a:latin typeface="Arial" panose="020B0604020202020204" pitchFamily="34" charset="0"/>
              <a:cs typeface="Arial" panose="020B0604020202020204" pitchFamily="34" charset="0"/>
            </a:rPr>
            <a:t> a short evaluation form.</a:t>
          </a:r>
        </a:p>
        <a:p>
          <a:pPr algn="ctr"/>
          <a:endParaRPr lang="en-GB" sz="1050" baseline="0">
            <a:solidFill>
              <a:schemeClr val="accent1">
                <a:lumMod val="75000"/>
              </a:schemeClr>
            </a:solidFill>
            <a:latin typeface="Arial" panose="020B0604020202020204" pitchFamily="34" charset="0"/>
            <a:cs typeface="Arial" panose="020B0604020202020204" pitchFamily="34" charset="0"/>
          </a:endParaRPr>
        </a:p>
        <a:p>
          <a:pPr algn="ctr"/>
          <a:r>
            <a:rPr lang="en-GB" sz="1050" baseline="0">
              <a:solidFill>
                <a:schemeClr val="accent1">
                  <a:lumMod val="75000"/>
                </a:schemeClr>
              </a:solidFill>
              <a:latin typeface="Arial" panose="020B0604020202020204" pitchFamily="34" charset="0"/>
              <a:cs typeface="Arial" panose="020B0604020202020204" pitchFamily="34" charset="0"/>
            </a:rPr>
            <a:t>Your response will help with the development of future tools. Thank-you</a:t>
          </a:r>
          <a:endParaRPr lang="en-GB" sz="1050">
            <a:solidFill>
              <a:schemeClr val="accent1">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211138</xdr:colOff>
      <xdr:row>0</xdr:row>
      <xdr:rowOff>169862</xdr:rowOff>
    </xdr:from>
    <xdr:to>
      <xdr:col>3</xdr:col>
      <xdr:colOff>277813</xdr:colOff>
      <xdr:row>0</xdr:row>
      <xdr:rowOff>767680</xdr:rowOff>
    </xdr:to>
    <xdr:pic>
      <xdr:nvPicPr>
        <xdr:cNvPr id="2" name="Picture 1" descr="College of Agriculture, Food and Rural Enterprise | CAFRE">
          <a:extLst>
            <a:ext uri="{FF2B5EF4-FFF2-40B4-BE49-F238E27FC236}">
              <a16:creationId xmlns:a16="http://schemas.microsoft.com/office/drawing/2014/main" id="{D88FD9F3-884D-4241-A03F-DF5A8CE21E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138" y="169862"/>
          <a:ext cx="1574800" cy="597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134939</xdr:colOff>
      <xdr:row>5</xdr:row>
      <xdr:rowOff>15874</xdr:rowOff>
    </xdr:from>
    <xdr:to>
      <xdr:col>5</xdr:col>
      <xdr:colOff>174625</xdr:colOff>
      <xdr:row>14</xdr:row>
      <xdr:rowOff>31750</xdr:rowOff>
    </xdr:to>
    <xdr:sp macro="" textlink="">
      <xdr:nvSpPr>
        <xdr:cNvPr id="3" name="Rounded Rectangle 6">
          <a:hlinkClick xmlns:r="http://schemas.openxmlformats.org/officeDocument/2006/relationships" r:id="rId2"/>
          <a:extLst>
            <a:ext uri="{FF2B5EF4-FFF2-40B4-BE49-F238E27FC236}">
              <a16:creationId xmlns:a16="http://schemas.microsoft.com/office/drawing/2014/main" id="{84DE0860-864E-422F-97C6-F39526AE25C7}"/>
            </a:ext>
          </a:extLst>
        </xdr:cNvPr>
        <xdr:cNvSpPr/>
      </xdr:nvSpPr>
      <xdr:spPr>
        <a:xfrm>
          <a:off x="134939" y="2381249"/>
          <a:ext cx="2500311" cy="1444626"/>
        </a:xfrm>
        <a:prstGeom prst="roundRect">
          <a:avLst/>
        </a:prstGeom>
        <a:solidFill>
          <a:schemeClr val="bg1"/>
        </a:solidFill>
        <a:ln>
          <a:solidFill>
            <a:schemeClr val="accent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accent1">
                  <a:lumMod val="75000"/>
                </a:schemeClr>
              </a:solidFill>
              <a:latin typeface="Arial" panose="020B0604020202020204" pitchFamily="34" charset="0"/>
              <a:cs typeface="Arial" panose="020B0604020202020204" pitchFamily="34" charset="0"/>
            </a:rPr>
            <a:t>Evaluation Form</a:t>
          </a:r>
        </a:p>
        <a:p>
          <a:pPr algn="ctr"/>
          <a:r>
            <a:rPr lang="en-GB" sz="1050">
              <a:solidFill>
                <a:schemeClr val="accent1">
                  <a:lumMod val="75000"/>
                </a:schemeClr>
              </a:solidFill>
              <a:latin typeface="Arial" panose="020B0604020202020204" pitchFamily="34" charset="0"/>
              <a:cs typeface="Arial" panose="020B0604020202020204" pitchFamily="34" charset="0"/>
            </a:rPr>
            <a:t>After using the</a:t>
          </a:r>
          <a:r>
            <a:rPr lang="en-GB" sz="1050" baseline="0">
              <a:solidFill>
                <a:schemeClr val="accent1">
                  <a:lumMod val="75000"/>
                </a:schemeClr>
              </a:solidFill>
              <a:latin typeface="Arial" panose="020B0604020202020204" pitchFamily="34" charset="0"/>
              <a:cs typeface="Arial" panose="020B0604020202020204" pitchFamily="34" charset="0"/>
            </a:rPr>
            <a:t> assessment tool, pl</a:t>
          </a:r>
          <a:r>
            <a:rPr lang="en-GB" sz="1050">
              <a:solidFill>
                <a:schemeClr val="accent1">
                  <a:lumMod val="75000"/>
                </a:schemeClr>
              </a:solidFill>
              <a:latin typeface="Arial" panose="020B0604020202020204" pitchFamily="34" charset="0"/>
              <a:cs typeface="Arial" panose="020B0604020202020204" pitchFamily="34" charset="0"/>
            </a:rPr>
            <a:t>ease </a:t>
          </a:r>
          <a:r>
            <a:rPr lang="en-GB" sz="1050" b="1" u="sng">
              <a:solidFill>
                <a:schemeClr val="accent1">
                  <a:lumMod val="75000"/>
                </a:schemeClr>
              </a:solidFill>
              <a:latin typeface="Arial" panose="020B0604020202020204" pitchFamily="34" charset="0"/>
              <a:cs typeface="Arial" panose="020B0604020202020204" pitchFamily="34" charset="0"/>
            </a:rPr>
            <a:t>click here</a:t>
          </a:r>
          <a:r>
            <a:rPr lang="en-GB" sz="1050" b="1" u="none">
              <a:solidFill>
                <a:schemeClr val="accent1">
                  <a:lumMod val="75000"/>
                </a:schemeClr>
              </a:solidFill>
              <a:latin typeface="Arial" panose="020B0604020202020204" pitchFamily="34" charset="0"/>
              <a:cs typeface="Arial" panose="020B0604020202020204" pitchFamily="34" charset="0"/>
            </a:rPr>
            <a:t> </a:t>
          </a:r>
          <a:r>
            <a:rPr lang="en-GB" sz="1050">
              <a:solidFill>
                <a:schemeClr val="accent1">
                  <a:lumMod val="75000"/>
                </a:schemeClr>
              </a:solidFill>
              <a:latin typeface="Arial" panose="020B0604020202020204" pitchFamily="34" charset="0"/>
              <a:cs typeface="Arial" panose="020B0604020202020204" pitchFamily="34" charset="0"/>
            </a:rPr>
            <a:t>to complete</a:t>
          </a:r>
          <a:r>
            <a:rPr lang="en-GB" sz="1050" baseline="0">
              <a:solidFill>
                <a:schemeClr val="accent1">
                  <a:lumMod val="75000"/>
                </a:schemeClr>
              </a:solidFill>
              <a:latin typeface="Arial" panose="020B0604020202020204" pitchFamily="34" charset="0"/>
              <a:cs typeface="Arial" panose="020B0604020202020204" pitchFamily="34" charset="0"/>
            </a:rPr>
            <a:t> a short evaluation form.</a:t>
          </a:r>
        </a:p>
        <a:p>
          <a:pPr algn="ctr"/>
          <a:r>
            <a:rPr lang="en-GB" sz="1050" baseline="0">
              <a:solidFill>
                <a:schemeClr val="accent1">
                  <a:lumMod val="75000"/>
                </a:schemeClr>
              </a:solidFill>
              <a:latin typeface="Arial" panose="020B0604020202020204" pitchFamily="34" charset="0"/>
              <a:cs typeface="Arial" panose="020B0604020202020204" pitchFamily="34" charset="0"/>
            </a:rPr>
            <a:t>Your response will help with the development of future tools. Thank-you</a:t>
          </a:r>
          <a:endParaRPr lang="en-GB" sz="1050">
            <a:solidFill>
              <a:schemeClr val="accent1">
                <a:lumMod val="75000"/>
              </a:schemeClr>
            </a:solidFill>
            <a:latin typeface="Arial" panose="020B0604020202020204" pitchFamily="34" charset="0"/>
            <a:cs typeface="Arial" panose="020B0604020202020204" pitchFamily="34" charset="0"/>
          </a:endParaRPr>
        </a:p>
      </xdr:txBody>
    </xdr:sp>
    <xdr:clientData/>
  </xdr:twoCellAnchor>
  <xdr:twoCellAnchor>
    <xdr:from>
      <xdr:col>5</xdr:col>
      <xdr:colOff>531812</xdr:colOff>
      <xdr:row>5</xdr:row>
      <xdr:rowOff>7939</xdr:rowOff>
    </xdr:from>
    <xdr:to>
      <xdr:col>16</xdr:col>
      <xdr:colOff>523874</xdr:colOff>
      <xdr:row>14</xdr:row>
      <xdr:rowOff>15877</xdr:rowOff>
    </xdr:to>
    <xdr:sp macro="" textlink="">
      <xdr:nvSpPr>
        <xdr:cNvPr id="5" name="Rounded Rectangle 1">
          <a:hlinkClick xmlns:r="http://schemas.openxmlformats.org/officeDocument/2006/relationships" r:id="rId3"/>
          <a:extLst>
            <a:ext uri="{FF2B5EF4-FFF2-40B4-BE49-F238E27FC236}">
              <a16:creationId xmlns:a16="http://schemas.microsoft.com/office/drawing/2014/main" id="{DB099DFD-18AE-40AE-99E0-1FF15E48652E}"/>
            </a:ext>
          </a:extLst>
        </xdr:cNvPr>
        <xdr:cNvSpPr/>
      </xdr:nvSpPr>
      <xdr:spPr>
        <a:xfrm>
          <a:off x="2992437" y="2373314"/>
          <a:ext cx="6667500" cy="1436688"/>
        </a:xfrm>
        <a:prstGeom prst="roundRect">
          <a:avLst/>
        </a:prstGeom>
        <a:solidFill>
          <a:schemeClr val="accent1">
            <a:lumMod val="75000"/>
          </a:schemeClr>
        </a:solidFill>
        <a:ln>
          <a:solidFill>
            <a:schemeClr val="accent1">
              <a:lumMod val="75000"/>
            </a:schemeClr>
          </a:solidFill>
        </a:ln>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vert="horz"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50">
              <a:solidFill>
                <a:schemeClr val="bg1"/>
              </a:solidFill>
              <a:latin typeface="Arial" panose="020B0604020202020204" pitchFamily="34" charset="0"/>
              <a:cs typeface="Arial" panose="020B0604020202020204" pitchFamily="34" charset="0"/>
            </a:rPr>
            <a:t>To allow CAFRE staff to compare and analyse results from a range of different farms,</a:t>
          </a:r>
          <a:r>
            <a:rPr lang="en-GB" sz="1050" baseline="0">
              <a:solidFill>
                <a:schemeClr val="bg1"/>
              </a:solidFill>
              <a:latin typeface="Arial" panose="020B0604020202020204" pitchFamily="34" charset="0"/>
              <a:cs typeface="Arial" panose="020B0604020202020204" pitchFamily="34" charset="0"/>
            </a:rPr>
            <a:t> please </a:t>
          </a:r>
          <a:r>
            <a:rPr lang="en-GB" sz="1050" u="sng" baseline="0">
              <a:solidFill>
                <a:schemeClr val="bg1"/>
              </a:solidFill>
              <a:latin typeface="Arial" panose="020B0604020202020204" pitchFamily="34" charset="0"/>
              <a:cs typeface="Arial" panose="020B0604020202020204" pitchFamily="34" charset="0"/>
            </a:rPr>
            <a:t>click here</a:t>
          </a:r>
          <a:r>
            <a:rPr lang="en-GB" sz="1050" u="none" baseline="0">
              <a:solidFill>
                <a:schemeClr val="bg1"/>
              </a:solidFill>
              <a:latin typeface="Arial" panose="020B0604020202020204" pitchFamily="34" charset="0"/>
              <a:cs typeface="Arial" panose="020B0604020202020204" pitchFamily="34" charset="0"/>
            </a:rPr>
            <a:t> </a:t>
          </a:r>
          <a:r>
            <a:rPr lang="en-GB" sz="1050" baseline="0">
              <a:solidFill>
                <a:schemeClr val="bg1"/>
              </a:solidFill>
              <a:latin typeface="Arial" panose="020B0604020202020204" pitchFamily="34" charset="0"/>
              <a:cs typeface="Arial" panose="020B0604020202020204" pitchFamily="34" charset="0"/>
            </a:rPr>
            <a:t>to email your completed assessment tool to: </a:t>
          </a:r>
          <a:r>
            <a:rPr lang="en-GB" sz="1050" b="1" u="sng">
              <a:solidFill>
                <a:srgbClr val="FFFF7D"/>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CAFREFarmBioTool@cafre.ac.uk</a:t>
          </a:r>
          <a:endParaRPr lang="en-GB" sz="1050" b="1" u="sng">
            <a:solidFill>
              <a:srgbClr val="FFFF7D"/>
            </a:solidFill>
            <a:effectLst/>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GB" sz="1050" b="1" u="sng">
            <a:solidFill>
              <a:srgbClr val="FFFF7D"/>
            </a:solidFill>
            <a:effectLst/>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GB" sz="1050" b="0">
              <a:solidFill>
                <a:schemeClr val="lt1"/>
              </a:solidFill>
              <a:effectLst/>
              <a:latin typeface="Arial" panose="020B0604020202020204" pitchFamily="34" charset="0"/>
              <a:ea typeface="+mn-ea"/>
              <a:cs typeface="Arial" panose="020B0604020202020204" pitchFamily="34" charset="0"/>
            </a:rPr>
            <a:t>The information that you have provided in this tool </a:t>
          </a:r>
          <a:r>
            <a:rPr lang="en-GB" sz="1050" b="1">
              <a:solidFill>
                <a:schemeClr val="lt1"/>
              </a:solidFill>
              <a:effectLst/>
              <a:latin typeface="Arial" panose="020B0604020202020204" pitchFamily="34" charset="0"/>
              <a:ea typeface="+mn-ea"/>
              <a:cs typeface="Arial" panose="020B0604020202020204" pitchFamily="34" charset="0"/>
            </a:rPr>
            <a:t>will not </a:t>
          </a:r>
          <a:r>
            <a:rPr lang="en-GB" sz="1050" b="0">
              <a:solidFill>
                <a:schemeClr val="lt1"/>
              </a:solidFill>
              <a:effectLst/>
              <a:latin typeface="Arial" panose="020B0604020202020204" pitchFamily="34" charset="0"/>
              <a:ea typeface="+mn-ea"/>
              <a:cs typeface="Arial" panose="020B0604020202020204" pitchFamily="34" charset="0"/>
            </a:rPr>
            <a:t>be linked to your</a:t>
          </a:r>
          <a:r>
            <a:rPr lang="en-GB" sz="1050" b="0" baseline="0">
              <a:solidFill>
                <a:schemeClr val="lt1"/>
              </a:solidFill>
              <a:effectLst/>
              <a:latin typeface="Arial" panose="020B0604020202020204" pitchFamily="34" charset="0"/>
              <a:ea typeface="+mn-ea"/>
              <a:cs typeface="Arial" panose="020B0604020202020204" pitchFamily="34" charset="0"/>
            </a:rPr>
            <a:t> DAERA farm business ID.</a:t>
          </a:r>
        </a:p>
        <a:p>
          <a:pPr marL="0" marR="0" lvl="0" indent="0" algn="ctr" defTabSz="914400" eaLnBrk="1" fontAlgn="auto" latinLnBrk="0" hangingPunct="1">
            <a:lnSpc>
              <a:spcPct val="100000"/>
            </a:lnSpc>
            <a:spcBef>
              <a:spcPts val="0"/>
            </a:spcBef>
            <a:spcAft>
              <a:spcPts val="0"/>
            </a:spcAft>
            <a:buClrTx/>
            <a:buSzTx/>
            <a:buFontTx/>
            <a:buNone/>
            <a:tabLst/>
            <a:defRPr/>
          </a:pPr>
          <a:endParaRPr lang="en-GB" sz="1050" b="0" baseline="0">
            <a:solidFill>
              <a:schemeClr val="lt1"/>
            </a:solidFill>
            <a:effectLst/>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GB" sz="1050" b="0" baseline="0">
              <a:solidFill>
                <a:schemeClr val="lt1"/>
              </a:solidFill>
              <a:effectLst/>
              <a:latin typeface="Arial" panose="020B0604020202020204" pitchFamily="34" charset="0"/>
              <a:ea typeface="+mn-ea"/>
              <a:cs typeface="Arial" panose="020B0604020202020204" pitchFamily="34" charset="0"/>
            </a:rPr>
            <a:t>Please </a:t>
          </a:r>
          <a:r>
            <a:rPr lang="en-GB" sz="1050" b="0" u="sng" baseline="0">
              <a:solidFill>
                <a:schemeClr val="lt1"/>
              </a:solidFill>
              <a:effectLst/>
              <a:latin typeface="Arial" panose="020B0604020202020204" pitchFamily="34" charset="0"/>
              <a:ea typeface="+mn-ea"/>
              <a:cs typeface="Arial" panose="020B0604020202020204" pitchFamily="34" charset="0"/>
            </a:rPr>
            <a:t>click here</a:t>
          </a:r>
          <a:r>
            <a:rPr lang="en-GB" sz="1050" b="0" u="none" baseline="0">
              <a:solidFill>
                <a:schemeClr val="lt1"/>
              </a:solidFill>
              <a:effectLst/>
              <a:latin typeface="Arial" panose="020B0604020202020204" pitchFamily="34" charset="0"/>
              <a:ea typeface="+mn-ea"/>
              <a:cs typeface="Arial" panose="020B0604020202020204" pitchFamily="34" charset="0"/>
            </a:rPr>
            <a:t> </a:t>
          </a:r>
          <a:r>
            <a:rPr lang="en-GB" sz="1050" b="0" baseline="0">
              <a:solidFill>
                <a:schemeClr val="lt1"/>
              </a:solidFill>
              <a:effectLst/>
              <a:latin typeface="Arial" panose="020B0604020202020204" pitchFamily="34" charset="0"/>
              <a:ea typeface="+mn-ea"/>
              <a:cs typeface="Arial" panose="020B0604020202020204" pitchFamily="34" charset="0"/>
            </a:rPr>
            <a:t>to send a query to the CAFRE team.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bats.org.uk/our-work/buildings-planning-and-development/bat-boxes/putting-up-your-box" TargetMode="External"/><Relationship Id="rId1" Type="http://schemas.openxmlformats.org/officeDocument/2006/relationships/hyperlink" Target="https://www.batconservationireland.org/wp-content/uploads/2015/05/BCIrelandGuidelines_BatBoxes.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W70"/>
  <sheetViews>
    <sheetView showGridLines="0" showRowColHeaders="0" tabSelected="1" zoomScale="120" zoomScaleNormal="120" workbookViewId="0">
      <selection activeCell="M9" sqref="M9"/>
    </sheetView>
  </sheetViews>
  <sheetFormatPr defaultColWidth="0" defaultRowHeight="12.75" zeroHeight="1" x14ac:dyDescent="0.2"/>
  <cols>
    <col min="1" max="1" width="3.140625" customWidth="1"/>
    <col min="2" max="16" width="9.140625" customWidth="1"/>
    <col min="17" max="17" width="14.5703125" customWidth="1"/>
    <col min="18" max="18" width="0.140625" customWidth="1"/>
    <col min="19" max="19" width="9.140625" hidden="1" customWidth="1"/>
    <col min="20" max="20" width="0.140625" hidden="1" customWidth="1"/>
    <col min="21" max="21" width="4" customWidth="1"/>
    <col min="22" max="23" width="0" hidden="1" customWidth="1"/>
    <col min="24" max="16384" width="9.140625" hidden="1"/>
  </cols>
  <sheetData>
    <row r="1" spans="2:20" x14ac:dyDescent="0.2"/>
    <row r="2" spans="2:20" x14ac:dyDescent="0.2"/>
    <row r="3" spans="2:20" x14ac:dyDescent="0.2"/>
    <row r="4" spans="2:20" x14ac:dyDescent="0.2"/>
    <row r="5" spans="2:20" x14ac:dyDescent="0.2"/>
    <row r="6" spans="2:20" x14ac:dyDescent="0.2"/>
    <row r="7" spans="2:20" ht="30" customHeight="1" x14ac:dyDescent="0.2"/>
    <row r="8" spans="2:20" x14ac:dyDescent="0.2"/>
    <row r="9" spans="2:20" ht="12.75" customHeight="1" thickBot="1" x14ac:dyDescent="0.25"/>
    <row r="10" spans="2:20" ht="27" customHeight="1" x14ac:dyDescent="0.2">
      <c r="B10" s="561" t="s">
        <v>114</v>
      </c>
      <c r="C10" s="562"/>
      <c r="D10" s="562"/>
      <c r="E10" s="562"/>
      <c r="F10" s="562"/>
      <c r="G10" s="562"/>
      <c r="H10" s="562"/>
      <c r="I10" s="562"/>
      <c r="J10" s="562"/>
      <c r="K10" s="562"/>
      <c r="L10" s="562"/>
      <c r="M10" s="562"/>
      <c r="N10" s="562"/>
      <c r="O10" s="562"/>
      <c r="P10" s="562"/>
      <c r="Q10" s="563"/>
      <c r="R10" s="170"/>
      <c r="S10" s="170"/>
      <c r="T10" s="170"/>
    </row>
    <row r="11" spans="2:20" ht="12.75" customHeight="1" x14ac:dyDescent="0.2">
      <c r="B11" s="564" t="s">
        <v>412</v>
      </c>
      <c r="C11" s="565"/>
      <c r="D11" s="565"/>
      <c r="E11" s="565"/>
      <c r="F11" s="565"/>
      <c r="G11" s="565"/>
      <c r="H11" s="565"/>
      <c r="I11" s="565"/>
      <c r="J11" s="565"/>
      <c r="K11" s="565"/>
      <c r="L11" s="565"/>
      <c r="M11" s="565"/>
      <c r="N11" s="565"/>
      <c r="O11" s="565"/>
      <c r="P11" s="565"/>
      <c r="Q11" s="566"/>
      <c r="R11" s="8"/>
      <c r="S11" s="8"/>
      <c r="T11" s="8"/>
    </row>
    <row r="12" spans="2:20" ht="12.75" customHeight="1" x14ac:dyDescent="0.2">
      <c r="B12" s="564"/>
      <c r="C12" s="565"/>
      <c r="D12" s="565"/>
      <c r="E12" s="565"/>
      <c r="F12" s="565"/>
      <c r="G12" s="565"/>
      <c r="H12" s="565"/>
      <c r="I12" s="565"/>
      <c r="J12" s="565"/>
      <c r="K12" s="565"/>
      <c r="L12" s="565"/>
      <c r="M12" s="565"/>
      <c r="N12" s="565"/>
      <c r="O12" s="565"/>
      <c r="P12" s="565"/>
      <c r="Q12" s="566"/>
      <c r="R12" s="8"/>
      <c r="S12" s="8"/>
      <c r="T12" s="8"/>
    </row>
    <row r="13" spans="2:20" ht="12.75" customHeight="1" x14ac:dyDescent="0.2">
      <c r="B13" s="564"/>
      <c r="C13" s="565"/>
      <c r="D13" s="565"/>
      <c r="E13" s="565"/>
      <c r="F13" s="565"/>
      <c r="G13" s="565"/>
      <c r="H13" s="565"/>
      <c r="I13" s="565"/>
      <c r="J13" s="565"/>
      <c r="K13" s="565"/>
      <c r="L13" s="565"/>
      <c r="M13" s="565"/>
      <c r="N13" s="565"/>
      <c r="O13" s="565"/>
      <c r="P13" s="565"/>
      <c r="Q13" s="566"/>
      <c r="R13" s="8"/>
      <c r="S13" s="8"/>
      <c r="T13" s="8"/>
    </row>
    <row r="14" spans="2:20" ht="24" customHeight="1" x14ac:dyDescent="0.2">
      <c r="B14" s="564"/>
      <c r="C14" s="565"/>
      <c r="D14" s="565"/>
      <c r="E14" s="565"/>
      <c r="F14" s="565"/>
      <c r="G14" s="565"/>
      <c r="H14" s="565"/>
      <c r="I14" s="565"/>
      <c r="J14" s="565"/>
      <c r="K14" s="565"/>
      <c r="L14" s="565"/>
      <c r="M14" s="565"/>
      <c r="N14" s="565"/>
      <c r="O14" s="565"/>
      <c r="P14" s="565"/>
      <c r="Q14" s="566"/>
      <c r="R14" s="8"/>
      <c r="S14" s="8"/>
      <c r="T14" s="8"/>
    </row>
    <row r="15" spans="2:20" ht="26.25" customHeight="1" x14ac:dyDescent="0.2">
      <c r="B15" s="564"/>
      <c r="C15" s="565"/>
      <c r="D15" s="565"/>
      <c r="E15" s="565"/>
      <c r="F15" s="565"/>
      <c r="G15" s="565"/>
      <c r="H15" s="565"/>
      <c r="I15" s="565"/>
      <c r="J15" s="565"/>
      <c r="K15" s="565"/>
      <c r="L15" s="565"/>
      <c r="M15" s="565"/>
      <c r="N15" s="565"/>
      <c r="O15" s="565"/>
      <c r="P15" s="565"/>
      <c r="Q15" s="566"/>
      <c r="R15" s="8"/>
      <c r="S15" s="8"/>
      <c r="T15" s="8"/>
    </row>
    <row r="16" spans="2:20" ht="24.75" customHeight="1" x14ac:dyDescent="0.2">
      <c r="B16" s="564"/>
      <c r="C16" s="565"/>
      <c r="D16" s="565"/>
      <c r="E16" s="565"/>
      <c r="F16" s="565"/>
      <c r="G16" s="565"/>
      <c r="H16" s="565"/>
      <c r="I16" s="565"/>
      <c r="J16" s="565"/>
      <c r="K16" s="565"/>
      <c r="L16" s="565"/>
      <c r="M16" s="565"/>
      <c r="N16" s="565"/>
      <c r="O16" s="565"/>
      <c r="P16" s="565"/>
      <c r="Q16" s="566"/>
      <c r="R16" s="8"/>
      <c r="S16" s="8"/>
      <c r="T16" s="8"/>
    </row>
    <row r="17" spans="2:23" ht="61.5" customHeight="1" thickBot="1" x14ac:dyDescent="0.25">
      <c r="B17" s="567"/>
      <c r="C17" s="568"/>
      <c r="D17" s="568"/>
      <c r="E17" s="568"/>
      <c r="F17" s="568"/>
      <c r="G17" s="568"/>
      <c r="H17" s="568"/>
      <c r="I17" s="568"/>
      <c r="J17" s="568"/>
      <c r="K17" s="568"/>
      <c r="L17" s="568"/>
      <c r="M17" s="568"/>
      <c r="N17" s="568"/>
      <c r="O17" s="568"/>
      <c r="P17" s="568"/>
      <c r="Q17" s="569"/>
      <c r="R17" s="9"/>
      <c r="S17" s="9"/>
      <c r="T17" s="9"/>
      <c r="U17" s="9"/>
      <c r="V17" s="9"/>
      <c r="W17" s="9"/>
    </row>
    <row r="18" spans="2:23" ht="11.25" customHeight="1" x14ac:dyDescent="0.2">
      <c r="B18" s="429"/>
      <c r="C18" s="8"/>
      <c r="D18" s="8"/>
      <c r="E18" s="8"/>
      <c r="F18" s="8"/>
      <c r="G18" s="8"/>
      <c r="H18" s="8"/>
      <c r="I18" s="8"/>
      <c r="J18" s="8"/>
      <c r="K18" s="8"/>
      <c r="L18" s="8"/>
      <c r="M18" s="8"/>
      <c r="N18" s="9"/>
      <c r="O18" s="9"/>
      <c r="P18" s="9"/>
      <c r="Q18" s="9"/>
      <c r="R18" s="9"/>
      <c r="S18" s="9"/>
      <c r="T18" s="9"/>
      <c r="U18" s="9"/>
      <c r="V18" s="9"/>
      <c r="W18" s="9"/>
    </row>
    <row r="19" spans="2:23" ht="3" customHeight="1" thickBot="1" x14ac:dyDescent="0.25">
      <c r="B19" s="8"/>
      <c r="C19" s="8"/>
      <c r="D19" s="8"/>
      <c r="E19" s="8"/>
      <c r="F19" s="8"/>
      <c r="G19" s="8"/>
      <c r="H19" s="8"/>
      <c r="I19" s="8"/>
      <c r="J19" s="8"/>
      <c r="K19" s="8"/>
      <c r="L19" s="8"/>
      <c r="M19" s="8"/>
      <c r="N19" s="9"/>
      <c r="O19" s="9"/>
      <c r="P19" s="9"/>
      <c r="Q19" s="9"/>
      <c r="R19" s="9"/>
      <c r="S19" s="9"/>
      <c r="T19" s="9"/>
      <c r="U19" s="9"/>
      <c r="V19" s="9"/>
      <c r="W19" s="9"/>
    </row>
    <row r="20" spans="2:23" ht="12.75" customHeight="1" x14ac:dyDescent="0.2">
      <c r="B20" s="570" t="s">
        <v>413</v>
      </c>
      <c r="C20" s="571"/>
      <c r="D20" s="571"/>
      <c r="E20" s="571"/>
      <c r="F20" s="571"/>
      <c r="G20" s="571"/>
      <c r="H20" s="571"/>
      <c r="I20" s="571"/>
      <c r="J20" s="571"/>
      <c r="K20" s="571"/>
      <c r="L20" s="571"/>
      <c r="M20" s="571"/>
      <c r="N20" s="571"/>
      <c r="O20" s="571"/>
      <c r="P20" s="571"/>
      <c r="Q20" s="572"/>
      <c r="R20" s="171"/>
      <c r="S20" s="171"/>
      <c r="T20" s="171"/>
      <c r="U20" s="9"/>
      <c r="V20" s="9"/>
      <c r="W20" s="9"/>
    </row>
    <row r="21" spans="2:23" ht="12.75" customHeight="1" x14ac:dyDescent="0.2">
      <c r="B21" s="573"/>
      <c r="C21" s="574"/>
      <c r="D21" s="574"/>
      <c r="E21" s="574"/>
      <c r="F21" s="574"/>
      <c r="G21" s="574"/>
      <c r="H21" s="574"/>
      <c r="I21" s="574"/>
      <c r="J21" s="574"/>
      <c r="K21" s="574"/>
      <c r="L21" s="574"/>
      <c r="M21" s="574"/>
      <c r="N21" s="574"/>
      <c r="O21" s="574"/>
      <c r="P21" s="574"/>
      <c r="Q21" s="575"/>
      <c r="R21" s="171"/>
      <c r="S21" s="171"/>
      <c r="T21" s="171"/>
      <c r="U21" s="9"/>
      <c r="V21" s="9"/>
      <c r="W21" s="9"/>
    </row>
    <row r="22" spans="2:23" ht="36" customHeight="1" x14ac:dyDescent="0.2">
      <c r="B22" s="564" t="s">
        <v>414</v>
      </c>
      <c r="C22" s="565"/>
      <c r="D22" s="565"/>
      <c r="E22" s="565"/>
      <c r="F22" s="565"/>
      <c r="G22" s="565"/>
      <c r="H22" s="565"/>
      <c r="I22" s="565"/>
      <c r="J22" s="565"/>
      <c r="K22" s="565"/>
      <c r="L22" s="565"/>
      <c r="M22" s="565"/>
      <c r="N22" s="565"/>
      <c r="O22" s="565"/>
      <c r="P22" s="565"/>
      <c r="Q22" s="566"/>
      <c r="R22" s="8"/>
      <c r="S22" s="8"/>
      <c r="T22" s="8"/>
      <c r="U22" s="9"/>
      <c r="V22" s="9"/>
      <c r="W22" s="9"/>
    </row>
    <row r="23" spans="2:23" ht="39" customHeight="1" x14ac:dyDescent="0.2">
      <c r="B23" s="564"/>
      <c r="C23" s="565"/>
      <c r="D23" s="565"/>
      <c r="E23" s="565"/>
      <c r="F23" s="565"/>
      <c r="G23" s="565"/>
      <c r="H23" s="565"/>
      <c r="I23" s="565"/>
      <c r="J23" s="565"/>
      <c r="K23" s="565"/>
      <c r="L23" s="565"/>
      <c r="M23" s="565"/>
      <c r="N23" s="565"/>
      <c r="O23" s="565"/>
      <c r="P23" s="565"/>
      <c r="Q23" s="566"/>
      <c r="R23" s="8"/>
      <c r="S23" s="8"/>
      <c r="T23" s="8"/>
      <c r="U23" s="9"/>
      <c r="V23" s="9"/>
      <c r="W23" s="9"/>
    </row>
    <row r="24" spans="2:23" ht="12" customHeight="1" x14ac:dyDescent="0.2">
      <c r="B24" s="576" t="s">
        <v>333</v>
      </c>
      <c r="C24" s="577"/>
      <c r="D24" s="577"/>
      <c r="E24" s="577"/>
      <c r="F24" s="577"/>
      <c r="G24" s="577"/>
      <c r="H24" s="577"/>
      <c r="I24" s="577"/>
      <c r="J24" s="577"/>
      <c r="K24" s="577"/>
      <c r="L24" s="577"/>
      <c r="M24" s="577"/>
      <c r="N24" s="577"/>
      <c r="O24" s="577"/>
      <c r="P24" s="577"/>
      <c r="Q24" s="578"/>
      <c r="R24" s="8"/>
      <c r="S24" s="8"/>
      <c r="T24" s="8"/>
    </row>
    <row r="25" spans="2:23" ht="12" customHeight="1" x14ac:dyDescent="0.2">
      <c r="B25" s="576"/>
      <c r="C25" s="577"/>
      <c r="D25" s="577"/>
      <c r="E25" s="577"/>
      <c r="F25" s="577"/>
      <c r="G25" s="577"/>
      <c r="H25" s="577"/>
      <c r="I25" s="577"/>
      <c r="J25" s="577"/>
      <c r="K25" s="577"/>
      <c r="L25" s="577"/>
      <c r="M25" s="577"/>
      <c r="N25" s="577"/>
      <c r="O25" s="577"/>
      <c r="P25" s="577"/>
      <c r="Q25" s="578"/>
      <c r="R25" s="8"/>
      <c r="S25" s="8"/>
      <c r="T25" s="8"/>
      <c r="U25" s="19"/>
      <c r="V25" s="19"/>
      <c r="W25" s="19"/>
    </row>
    <row r="26" spans="2:23" ht="12" customHeight="1" x14ac:dyDescent="0.2">
      <c r="B26" s="579" t="s">
        <v>131</v>
      </c>
      <c r="C26" s="580"/>
      <c r="D26" s="580"/>
      <c r="E26" s="580"/>
      <c r="F26" s="580"/>
      <c r="G26" s="580"/>
      <c r="H26" s="580"/>
      <c r="I26" s="580"/>
      <c r="J26" s="580"/>
      <c r="K26" s="580"/>
      <c r="L26" s="580"/>
      <c r="M26" s="580"/>
      <c r="N26" s="580"/>
      <c r="O26" s="580"/>
      <c r="P26" s="580"/>
      <c r="Q26" s="581"/>
      <c r="R26" s="8"/>
      <c r="S26" s="8"/>
      <c r="T26" s="8"/>
      <c r="U26" s="19"/>
      <c r="V26" s="19"/>
      <c r="W26" s="19"/>
    </row>
    <row r="27" spans="2:23" ht="18" customHeight="1" x14ac:dyDescent="0.2">
      <c r="B27" s="579"/>
      <c r="C27" s="580"/>
      <c r="D27" s="580"/>
      <c r="E27" s="580"/>
      <c r="F27" s="580"/>
      <c r="G27" s="580"/>
      <c r="H27" s="580"/>
      <c r="I27" s="580"/>
      <c r="J27" s="580"/>
      <c r="K27" s="580"/>
      <c r="L27" s="580"/>
      <c r="M27" s="580"/>
      <c r="N27" s="580"/>
      <c r="O27" s="580"/>
      <c r="P27" s="580"/>
      <c r="Q27" s="581"/>
      <c r="R27" s="8"/>
      <c r="S27" s="8"/>
      <c r="T27" s="8"/>
      <c r="U27" s="19"/>
      <c r="V27" s="19"/>
      <c r="W27" s="19"/>
    </row>
    <row r="28" spans="2:23" ht="24" customHeight="1" x14ac:dyDescent="0.2">
      <c r="B28" s="555" t="s">
        <v>440</v>
      </c>
      <c r="C28" s="556"/>
      <c r="D28" s="556"/>
      <c r="E28" s="556"/>
      <c r="F28" s="556"/>
      <c r="G28" s="556"/>
      <c r="H28" s="556"/>
      <c r="I28" s="556"/>
      <c r="J28" s="556"/>
      <c r="K28" s="556"/>
      <c r="L28" s="556"/>
      <c r="M28" s="556"/>
      <c r="N28" s="556"/>
      <c r="O28" s="556"/>
      <c r="P28" s="556"/>
      <c r="Q28" s="557"/>
      <c r="R28" s="8"/>
      <c r="S28" s="8"/>
      <c r="T28" s="8"/>
      <c r="U28" s="19"/>
      <c r="V28" s="19"/>
      <c r="W28" s="19"/>
    </row>
    <row r="29" spans="2:23" ht="11.25" customHeight="1" thickBot="1" x14ac:dyDescent="0.25">
      <c r="B29" s="558"/>
      <c r="C29" s="559"/>
      <c r="D29" s="559"/>
      <c r="E29" s="559"/>
      <c r="F29" s="559"/>
      <c r="G29" s="559"/>
      <c r="H29" s="559"/>
      <c r="I29" s="559"/>
      <c r="J29" s="559"/>
      <c r="K29" s="559"/>
      <c r="L29" s="559"/>
      <c r="M29" s="559"/>
      <c r="N29" s="559"/>
      <c r="O29" s="559"/>
      <c r="P29" s="559"/>
      <c r="Q29" s="560"/>
      <c r="R29" s="104"/>
      <c r="S29" s="104"/>
      <c r="T29" s="104"/>
      <c r="U29" s="19"/>
      <c r="V29" s="19"/>
      <c r="W29" s="19"/>
    </row>
    <row r="30" spans="2:23" ht="48.75" customHeight="1" thickBot="1" x14ac:dyDescent="0.25">
      <c r="B30" s="156"/>
      <c r="C30" s="156"/>
      <c r="D30" s="156"/>
      <c r="E30" s="156"/>
      <c r="F30" s="156"/>
      <c r="G30" s="156"/>
      <c r="H30" s="156"/>
      <c r="I30" s="156"/>
      <c r="J30" s="156"/>
      <c r="K30" s="156"/>
      <c r="L30" s="156"/>
      <c r="M30" s="156"/>
      <c r="N30" s="156"/>
      <c r="O30" s="156"/>
      <c r="P30" s="156"/>
      <c r="Q30" s="156"/>
      <c r="R30" s="104"/>
      <c r="S30" s="104"/>
      <c r="T30" s="104"/>
      <c r="U30" s="19"/>
      <c r="V30" s="19"/>
      <c r="W30" s="19"/>
    </row>
    <row r="31" spans="2:23" ht="44.25" customHeight="1" thickBot="1" x14ac:dyDescent="0.25">
      <c r="B31" s="552" t="s">
        <v>415</v>
      </c>
      <c r="C31" s="553"/>
      <c r="D31" s="553"/>
      <c r="E31" s="553"/>
      <c r="F31" s="553"/>
      <c r="G31" s="553"/>
      <c r="H31" s="553"/>
      <c r="I31" s="553"/>
      <c r="J31" s="553"/>
      <c r="K31" s="553"/>
      <c r="L31" s="553"/>
      <c r="M31" s="553"/>
      <c r="N31" s="553"/>
      <c r="O31" s="553"/>
      <c r="P31" s="553"/>
      <c r="Q31" s="554"/>
      <c r="R31" s="104"/>
      <c r="S31" s="104"/>
      <c r="T31" s="104"/>
      <c r="U31" s="19"/>
      <c r="V31" s="19"/>
      <c r="W31" s="19"/>
    </row>
    <row r="32" spans="2:23" ht="12.75" customHeight="1" x14ac:dyDescent="0.2">
      <c r="U32" s="19"/>
      <c r="V32" s="19"/>
      <c r="W32" s="19"/>
    </row>
    <row r="33" spans="14:23" ht="12.75" customHeight="1" x14ac:dyDescent="0.2">
      <c r="U33" s="19"/>
      <c r="V33" s="19"/>
      <c r="W33" s="19"/>
    </row>
    <row r="34" spans="14:23" ht="12.75" customHeight="1" x14ac:dyDescent="0.2">
      <c r="N34" s="8"/>
      <c r="O34" s="19"/>
      <c r="P34" s="19"/>
      <c r="Q34" s="19"/>
      <c r="R34" s="19"/>
      <c r="S34" s="19"/>
      <c r="T34" s="19"/>
      <c r="U34" s="19"/>
      <c r="V34" s="19"/>
      <c r="W34" s="19"/>
    </row>
    <row r="35" spans="14:23" ht="20.25" customHeight="1" x14ac:dyDescent="0.2">
      <c r="N35" s="8"/>
      <c r="O35" s="19"/>
      <c r="P35" s="19"/>
      <c r="Q35" s="19"/>
      <c r="R35" s="19"/>
      <c r="S35" s="19"/>
      <c r="T35" s="19"/>
      <c r="U35" s="19"/>
      <c r="V35" s="19"/>
      <c r="W35" s="19"/>
    </row>
    <row r="36" spans="14:23" ht="12.75" customHeight="1" x14ac:dyDescent="0.2">
      <c r="N36" s="8"/>
      <c r="O36" s="19"/>
      <c r="P36" s="19"/>
      <c r="R36" s="19"/>
      <c r="S36" s="19"/>
      <c r="T36" s="19"/>
      <c r="U36" s="19"/>
      <c r="V36" s="19"/>
      <c r="W36" s="19"/>
    </row>
    <row r="37" spans="14:23" ht="13.5" customHeight="1" x14ac:dyDescent="0.2"/>
    <row r="38" spans="14:23" x14ac:dyDescent="0.2"/>
    <row r="39" spans="14:23" x14ac:dyDescent="0.2"/>
    <row r="40" spans="14:23" x14ac:dyDescent="0.2"/>
    <row r="41" spans="14:23" x14ac:dyDescent="0.2"/>
    <row r="42" spans="14:23" x14ac:dyDescent="0.2"/>
    <row r="43" spans="14:23" x14ac:dyDescent="0.2"/>
    <row r="44" spans="14:23" x14ac:dyDescent="0.2"/>
    <row r="45" spans="14:23" x14ac:dyDescent="0.2"/>
    <row r="46" spans="14:23" x14ac:dyDescent="0.2"/>
    <row r="47" spans="14:23" x14ac:dyDescent="0.2"/>
    <row r="48" spans="14:23" x14ac:dyDescent="0.2"/>
    <row r="49" customFormat="1" x14ac:dyDescent="0.2"/>
    <row r="50" customFormat="1" x14ac:dyDescent="0.2"/>
    <row r="51" customFormat="1" ht="68.25" customHeight="1" x14ac:dyDescent="0.2"/>
    <row r="52" customFormat="1" ht="69" customHeight="1" x14ac:dyDescent="0.2"/>
    <row r="53" customFormat="1" ht="69" customHeight="1" x14ac:dyDescent="0.2"/>
    <row r="54" customFormat="1" x14ac:dyDescent="0.2"/>
    <row r="55" customFormat="1" hidden="1" x14ac:dyDescent="0.2"/>
    <row r="56" customFormat="1" hidden="1" x14ac:dyDescent="0.2"/>
    <row r="57" customFormat="1" hidden="1" x14ac:dyDescent="0.2"/>
    <row r="58" customFormat="1" hidden="1" x14ac:dyDescent="0.2"/>
    <row r="59" customFormat="1" hidden="1" x14ac:dyDescent="0.2"/>
    <row r="60" customFormat="1" hidden="1" x14ac:dyDescent="0.2"/>
    <row r="61" customFormat="1" x14ac:dyDescent="0.2"/>
    <row r="62" customFormat="1" x14ac:dyDescent="0.2"/>
    <row r="63" customFormat="1" x14ac:dyDescent="0.2"/>
    <row r="64" customFormat="1" x14ac:dyDescent="0.2"/>
    <row r="65" customFormat="1" hidden="1" x14ac:dyDescent="0.2"/>
    <row r="66" customFormat="1" hidden="1" x14ac:dyDescent="0.2"/>
    <row r="67" customFormat="1" hidden="1" x14ac:dyDescent="0.2"/>
    <row r="68" customFormat="1" hidden="1" x14ac:dyDescent="0.2"/>
    <row r="69" customFormat="1" hidden="1" x14ac:dyDescent="0.2"/>
    <row r="70" customFormat="1" hidden="1" x14ac:dyDescent="0.2"/>
  </sheetData>
  <sheetProtection algorithmName="SHA-512" hashValue="zvcm48i5HCaM4FVtJP62zCI8hF+sPStox0aSScm07xwgUE1L9kjW07oGykG7Vx5HgYP7/h6knz7Y6LQTf+GpWQ==" saltValue="I6LKD6eSKa0d3WlR9DsWUg==" spinCount="100000" sheet="1" objects="1" scenarios="1" selectLockedCells="1"/>
  <mergeCells count="8">
    <mergeCell ref="B31:Q31"/>
    <mergeCell ref="B28:Q29"/>
    <mergeCell ref="B10:Q10"/>
    <mergeCell ref="B11:Q17"/>
    <mergeCell ref="B20:Q21"/>
    <mergeCell ref="B22:Q23"/>
    <mergeCell ref="B24:Q25"/>
    <mergeCell ref="B26:Q2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2AFA9-A4B7-4E32-B7DE-B3E5DC50BAD3}">
  <sheetPr codeName="Sheet11">
    <tabColor theme="0"/>
  </sheetPr>
  <dimension ref="B1:AV109"/>
  <sheetViews>
    <sheetView showGridLines="0" showRowColHeaders="0" zoomScale="120" zoomScaleNormal="120" workbookViewId="0">
      <selection activeCell="J21" sqref="J21"/>
    </sheetView>
  </sheetViews>
  <sheetFormatPr defaultColWidth="9.140625" defaultRowHeight="22.5" customHeight="1" zeroHeight="1" x14ac:dyDescent="0.2"/>
  <cols>
    <col min="1" max="1" width="1.28515625" style="100" customWidth="1"/>
    <col min="2" max="2" width="7.42578125" style="100" customWidth="1"/>
    <col min="3" max="4" width="7.42578125" style="96" customWidth="1"/>
    <col min="5" max="5" width="7.140625" style="96" customWidth="1"/>
    <col min="6" max="6" width="5.5703125" style="96" customWidth="1"/>
    <col min="7" max="7" width="16.5703125" style="96" customWidth="1"/>
    <col min="8" max="8" width="11.7109375" style="96" customWidth="1"/>
    <col min="9" max="9" width="14.7109375" style="96" customWidth="1"/>
    <col min="10" max="10" width="19.140625" style="158" customWidth="1"/>
    <col min="11" max="11" width="29" style="100" customWidth="1"/>
    <col min="12" max="12" width="24.7109375" style="100" customWidth="1"/>
    <col min="13" max="21" width="11.85546875" style="100" customWidth="1"/>
    <col min="22" max="22" width="9.85546875" style="100" customWidth="1"/>
    <col min="23" max="42" width="9.140625" style="100"/>
    <col min="43" max="43" width="9.85546875" style="100" customWidth="1"/>
    <col min="44" max="44" width="9.140625" style="100"/>
    <col min="45" max="45" width="9.85546875" style="100" customWidth="1"/>
    <col min="46" max="46" width="10.42578125" style="100" customWidth="1"/>
    <col min="47" max="16383" width="9.140625" style="100"/>
    <col min="16384" max="16384" width="4.7109375" style="100" customWidth="1"/>
  </cols>
  <sheetData>
    <row r="1" spans="3:15" ht="15.75" customHeight="1" x14ac:dyDescent="0.2">
      <c r="C1" s="100"/>
      <c r="D1" s="100"/>
      <c r="E1" s="100"/>
      <c r="F1" s="100"/>
      <c r="G1" s="100"/>
      <c r="H1" s="100"/>
      <c r="I1" s="100"/>
      <c r="J1" s="100"/>
    </row>
    <row r="2" spans="3:15" ht="15.75" customHeight="1" x14ac:dyDescent="0.2">
      <c r="C2" s="100"/>
      <c r="D2" s="100"/>
      <c r="E2" s="100"/>
      <c r="F2" s="100"/>
      <c r="G2" s="100"/>
      <c r="H2" s="100"/>
      <c r="I2" s="100"/>
      <c r="J2" s="100"/>
    </row>
    <row r="3" spans="3:15" ht="15.75" customHeight="1" x14ac:dyDescent="0.2">
      <c r="C3" s="100"/>
      <c r="D3" s="100"/>
      <c r="E3" s="100"/>
      <c r="F3" s="100"/>
      <c r="G3" s="100"/>
      <c r="H3" s="100"/>
      <c r="I3" s="100"/>
      <c r="J3" s="100"/>
    </row>
    <row r="4" spans="3:15" ht="15.75" customHeight="1" x14ac:dyDescent="0.2">
      <c r="C4" s="100"/>
      <c r="D4" s="100"/>
      <c r="E4" s="100"/>
      <c r="F4" s="100"/>
      <c r="G4" s="100"/>
      <c r="H4" s="100"/>
      <c r="I4" s="100"/>
      <c r="J4" s="100"/>
    </row>
    <row r="5" spans="3:15" ht="15.75" customHeight="1" x14ac:dyDescent="0.2">
      <c r="C5" s="100"/>
      <c r="D5" s="100"/>
      <c r="E5" s="100"/>
      <c r="F5" s="100"/>
      <c r="G5" s="100"/>
      <c r="H5" s="100"/>
      <c r="I5" s="100"/>
      <c r="J5" s="100"/>
    </row>
    <row r="6" spans="3:15" ht="15.75" customHeight="1" x14ac:dyDescent="0.2">
      <c r="C6" s="100"/>
      <c r="D6" s="100"/>
      <c r="E6" s="100"/>
      <c r="F6" s="100"/>
      <c r="G6" s="100"/>
      <c r="H6" s="100"/>
      <c r="I6" s="100"/>
      <c r="J6" s="100"/>
    </row>
    <row r="7" spans="3:15" ht="15.75" customHeight="1" x14ac:dyDescent="0.2">
      <c r="C7" s="100"/>
      <c r="D7" s="100"/>
      <c r="E7" s="100"/>
      <c r="F7" s="100"/>
      <c r="G7" s="100"/>
      <c r="H7" s="100"/>
      <c r="I7" s="100"/>
      <c r="J7" s="100"/>
    </row>
    <row r="8" spans="3:15" ht="15.75" customHeight="1" x14ac:dyDescent="0.2">
      <c r="C8" s="100"/>
      <c r="D8" s="100"/>
      <c r="E8" s="100"/>
      <c r="F8" s="100"/>
      <c r="G8" s="100"/>
      <c r="H8" s="100"/>
      <c r="I8" s="100"/>
      <c r="J8" s="100"/>
    </row>
    <row r="9" spans="3:15" ht="15.75" customHeight="1" x14ac:dyDescent="0.2">
      <c r="C9" s="100"/>
      <c r="D9" s="100"/>
      <c r="E9" s="100"/>
      <c r="F9" s="100"/>
      <c r="G9" s="100"/>
      <c r="H9" s="100"/>
      <c r="I9" s="100"/>
      <c r="J9" s="100"/>
    </row>
    <row r="10" spans="3:15" ht="15.75" customHeight="1" x14ac:dyDescent="0.2">
      <c r="C10" s="100"/>
      <c r="D10" s="100"/>
      <c r="E10" s="100"/>
      <c r="F10" s="100"/>
      <c r="G10" s="100"/>
      <c r="H10" s="100"/>
      <c r="I10" s="100"/>
      <c r="J10" s="100"/>
    </row>
    <row r="11" spans="3:15" ht="15.75" customHeight="1" thickBot="1" x14ac:dyDescent="0.25">
      <c r="C11" s="100"/>
      <c r="D11" s="100"/>
      <c r="E11" s="100"/>
      <c r="F11" s="100"/>
      <c r="G11" s="100"/>
      <c r="H11" s="100"/>
      <c r="I11" s="100"/>
      <c r="J11" s="100"/>
    </row>
    <row r="12" spans="3:15" ht="45.75" customHeight="1" x14ac:dyDescent="0.2">
      <c r="C12" s="689" t="s">
        <v>302</v>
      </c>
      <c r="D12" s="690"/>
      <c r="E12" s="690"/>
      <c r="F12" s="690"/>
      <c r="G12" s="690"/>
      <c r="H12" s="690"/>
      <c r="I12" s="690"/>
      <c r="J12" s="690"/>
      <c r="K12" s="690"/>
      <c r="L12" s="691"/>
      <c r="M12" s="8"/>
      <c r="N12" s="145"/>
      <c r="O12" s="8"/>
    </row>
    <row r="13" spans="3:15" ht="15.75" customHeight="1" x14ac:dyDescent="0.2">
      <c r="C13" s="692"/>
      <c r="D13" s="693"/>
      <c r="E13" s="693"/>
      <c r="F13" s="693"/>
      <c r="G13" s="693"/>
      <c r="H13" s="693"/>
      <c r="I13" s="693"/>
      <c r="J13" s="693"/>
      <c r="K13" s="693"/>
      <c r="L13" s="694"/>
      <c r="M13" s="8"/>
      <c r="N13" s="145"/>
      <c r="O13" s="8"/>
    </row>
    <row r="14" spans="3:15" ht="15.75" customHeight="1" x14ac:dyDescent="0.2">
      <c r="C14" s="692"/>
      <c r="D14" s="693"/>
      <c r="E14" s="693"/>
      <c r="F14" s="693"/>
      <c r="G14" s="693"/>
      <c r="H14" s="693"/>
      <c r="I14" s="693"/>
      <c r="J14" s="693"/>
      <c r="K14" s="693"/>
      <c r="L14" s="694"/>
      <c r="M14" s="8"/>
      <c r="N14" s="145"/>
      <c r="O14" s="8"/>
    </row>
    <row r="15" spans="3:15" ht="15.75" customHeight="1" x14ac:dyDescent="0.2">
      <c r="C15" s="692"/>
      <c r="D15" s="693"/>
      <c r="E15" s="693"/>
      <c r="F15" s="693"/>
      <c r="G15" s="693"/>
      <c r="H15" s="693"/>
      <c r="I15" s="693"/>
      <c r="J15" s="693"/>
      <c r="K15" s="693"/>
      <c r="L15" s="694"/>
      <c r="M15" s="8"/>
      <c r="N15" s="145"/>
      <c r="O15" s="8"/>
    </row>
    <row r="16" spans="3:15" ht="15.75" customHeight="1" thickBot="1" x14ac:dyDescent="0.25">
      <c r="C16" s="695"/>
      <c r="D16" s="696"/>
      <c r="E16" s="696"/>
      <c r="F16" s="696"/>
      <c r="G16" s="696"/>
      <c r="H16" s="696"/>
      <c r="I16" s="696"/>
      <c r="J16" s="696"/>
      <c r="K16" s="696"/>
      <c r="L16" s="697"/>
      <c r="M16" s="8"/>
      <c r="N16" s="145"/>
      <c r="O16" s="8"/>
    </row>
    <row r="17" spans="2:15" ht="15.75" customHeight="1" thickBot="1" x14ac:dyDescent="0.25">
      <c r="C17" s="162"/>
      <c r="D17" s="162"/>
      <c r="E17" s="162"/>
      <c r="F17" s="162"/>
      <c r="G17" s="162"/>
      <c r="H17" s="162"/>
      <c r="I17" s="162"/>
      <c r="J17" s="162"/>
      <c r="K17" s="162"/>
      <c r="L17" s="162"/>
      <c r="M17" s="8"/>
      <c r="N17" s="145"/>
      <c r="O17" s="8"/>
    </row>
    <row r="18" spans="2:15" ht="27.75" customHeight="1" x14ac:dyDescent="0.2">
      <c r="B18" s="702" t="s">
        <v>0</v>
      </c>
      <c r="C18" s="703"/>
      <c r="D18" s="703"/>
      <c r="E18" s="703"/>
      <c r="F18" s="703"/>
      <c r="G18" s="703"/>
      <c r="H18" s="704"/>
      <c r="I18" s="700" t="s">
        <v>301</v>
      </c>
      <c r="J18" s="701"/>
      <c r="K18" s="162"/>
      <c r="L18" s="162"/>
      <c r="M18" s="8"/>
      <c r="N18" s="145"/>
      <c r="O18" s="8"/>
    </row>
    <row r="19" spans="2:15" ht="25.5" customHeight="1" x14ac:dyDescent="0.2">
      <c r="B19" s="705" t="s">
        <v>284</v>
      </c>
      <c r="C19" s="706"/>
      <c r="D19" s="706"/>
      <c r="E19" s="706"/>
      <c r="F19" s="706"/>
      <c r="G19" s="706"/>
      <c r="H19" s="706"/>
      <c r="I19" s="707"/>
      <c r="J19" s="293">
        <v>2023</v>
      </c>
      <c r="K19" s="162"/>
      <c r="L19" s="162"/>
      <c r="M19" s="8"/>
      <c r="N19" s="145"/>
      <c r="O19" s="8"/>
    </row>
    <row r="20" spans="2:15" ht="25.5" customHeight="1" x14ac:dyDescent="0.2">
      <c r="B20" s="716" t="s">
        <v>330</v>
      </c>
      <c r="C20" s="717"/>
      <c r="D20" s="717"/>
      <c r="E20" s="717"/>
      <c r="F20" s="717"/>
      <c r="G20" s="717"/>
      <c r="H20" s="717"/>
      <c r="I20" s="718"/>
      <c r="J20" s="293" t="s">
        <v>431</v>
      </c>
      <c r="K20" s="162"/>
      <c r="L20" s="162"/>
      <c r="M20" s="8"/>
      <c r="N20" s="145"/>
      <c r="O20" s="8"/>
    </row>
    <row r="21" spans="2:15" ht="25.5" customHeight="1" thickBot="1" x14ac:dyDescent="0.25">
      <c r="B21" s="714" t="s">
        <v>329</v>
      </c>
      <c r="C21" s="715"/>
      <c r="D21" s="715"/>
      <c r="E21" s="715"/>
      <c r="F21" s="715"/>
      <c r="G21" s="715"/>
      <c r="H21" s="715"/>
      <c r="I21" s="715"/>
      <c r="J21" s="253"/>
      <c r="K21" s="162"/>
      <c r="L21" s="162"/>
      <c r="M21" s="8"/>
      <c r="N21" s="145"/>
      <c r="O21" s="8"/>
    </row>
    <row r="22" spans="2:15" ht="25.5" customHeight="1" thickBot="1" x14ac:dyDescent="0.25">
      <c r="B22" s="708" t="s">
        <v>312</v>
      </c>
      <c r="C22" s="709"/>
      <c r="D22" s="709"/>
      <c r="E22" s="709"/>
      <c r="F22" s="709"/>
      <c r="G22" s="709"/>
      <c r="H22" s="709"/>
      <c r="I22" s="709"/>
      <c r="J22" s="710"/>
      <c r="K22" s="162"/>
      <c r="L22" s="162"/>
      <c r="M22" s="8"/>
      <c r="N22" s="145"/>
      <c r="O22" s="8"/>
    </row>
    <row r="23" spans="2:15" ht="22.5" customHeight="1" x14ac:dyDescent="0.2">
      <c r="B23" s="711" t="s">
        <v>313</v>
      </c>
      <c r="C23" s="712"/>
      <c r="D23" s="712"/>
      <c r="E23" s="712"/>
      <c r="F23" s="712"/>
      <c r="G23" s="712"/>
      <c r="H23" s="713"/>
      <c r="I23" s="254" t="s">
        <v>303</v>
      </c>
      <c r="J23" s="255"/>
      <c r="K23" s="162"/>
      <c r="L23" s="162"/>
      <c r="M23" s="8"/>
      <c r="N23" s="145"/>
      <c r="O23" s="8"/>
    </row>
    <row r="24" spans="2:15" ht="22.5" customHeight="1" x14ac:dyDescent="0.2">
      <c r="B24" s="711"/>
      <c r="C24" s="712"/>
      <c r="D24" s="712"/>
      <c r="E24" s="712"/>
      <c r="F24" s="712"/>
      <c r="G24" s="712"/>
      <c r="H24" s="713"/>
      <c r="I24" s="256" t="s">
        <v>304</v>
      </c>
      <c r="J24" s="257"/>
      <c r="K24" s="162"/>
      <c r="L24" s="162"/>
      <c r="M24" s="8"/>
      <c r="N24" s="145"/>
      <c r="O24" s="8"/>
    </row>
    <row r="25" spans="2:15" ht="22.5" customHeight="1" x14ac:dyDescent="0.2">
      <c r="B25" s="711"/>
      <c r="C25" s="712"/>
      <c r="D25" s="712"/>
      <c r="E25" s="712"/>
      <c r="F25" s="712"/>
      <c r="G25" s="712"/>
      <c r="H25" s="713"/>
      <c r="I25" s="256" t="s">
        <v>305</v>
      </c>
      <c r="J25" s="257"/>
      <c r="K25" s="162"/>
      <c r="L25" s="162"/>
      <c r="M25" s="8"/>
      <c r="N25" s="145"/>
      <c r="O25" s="8"/>
    </row>
    <row r="26" spans="2:15" ht="22.5" customHeight="1" x14ac:dyDescent="0.2">
      <c r="B26" s="711"/>
      <c r="C26" s="712"/>
      <c r="D26" s="712"/>
      <c r="E26" s="712"/>
      <c r="F26" s="712"/>
      <c r="G26" s="712"/>
      <c r="H26" s="713"/>
      <c r="I26" s="256" t="s">
        <v>306</v>
      </c>
      <c r="J26" s="257"/>
      <c r="K26" s="162"/>
      <c r="L26" s="162"/>
      <c r="M26" s="8"/>
      <c r="N26" s="145"/>
      <c r="O26" s="8"/>
    </row>
    <row r="27" spans="2:15" ht="22.5" customHeight="1" x14ac:dyDescent="0.2">
      <c r="B27" s="711"/>
      <c r="C27" s="712"/>
      <c r="D27" s="712"/>
      <c r="E27" s="712"/>
      <c r="F27" s="712"/>
      <c r="G27" s="712"/>
      <c r="H27" s="713"/>
      <c r="I27" s="256" t="s">
        <v>307</v>
      </c>
      <c r="J27" s="257"/>
      <c r="K27" s="162"/>
      <c r="L27" s="162"/>
      <c r="M27" s="8"/>
      <c r="N27" s="145"/>
      <c r="O27" s="8"/>
    </row>
    <row r="28" spans="2:15" ht="22.5" customHeight="1" x14ac:dyDescent="0.2">
      <c r="B28" s="711"/>
      <c r="C28" s="712"/>
      <c r="D28" s="712"/>
      <c r="E28" s="712"/>
      <c r="F28" s="712"/>
      <c r="G28" s="712"/>
      <c r="H28" s="713"/>
      <c r="I28" s="256" t="s">
        <v>308</v>
      </c>
      <c r="J28" s="257"/>
      <c r="K28" s="162"/>
      <c r="L28" s="162"/>
      <c r="M28" s="8"/>
      <c r="N28" s="145"/>
      <c r="O28" s="8"/>
    </row>
    <row r="29" spans="2:15" ht="22.5" customHeight="1" x14ac:dyDescent="0.2">
      <c r="B29" s="711"/>
      <c r="C29" s="712"/>
      <c r="D29" s="712"/>
      <c r="E29" s="712"/>
      <c r="F29" s="712"/>
      <c r="G29" s="712"/>
      <c r="H29" s="713"/>
      <c r="I29" s="256" t="s">
        <v>309</v>
      </c>
      <c r="J29" s="257"/>
      <c r="K29" s="162"/>
      <c r="L29" s="162"/>
      <c r="M29" s="8"/>
      <c r="N29" s="145"/>
      <c r="O29" s="8"/>
    </row>
    <row r="30" spans="2:15" ht="22.5" customHeight="1" x14ac:dyDescent="0.2">
      <c r="B30" s="711"/>
      <c r="C30" s="712"/>
      <c r="D30" s="712"/>
      <c r="E30" s="712"/>
      <c r="F30" s="712"/>
      <c r="G30" s="712"/>
      <c r="H30" s="713"/>
      <c r="I30" s="256" t="s">
        <v>310</v>
      </c>
      <c r="J30" s="257"/>
      <c r="K30" s="162"/>
      <c r="L30" s="162"/>
      <c r="M30" s="8"/>
      <c r="N30" s="145"/>
      <c r="O30" s="8"/>
    </row>
    <row r="31" spans="2:15" ht="22.5" customHeight="1" x14ac:dyDescent="0.2">
      <c r="B31" s="711"/>
      <c r="C31" s="712"/>
      <c r="D31" s="712"/>
      <c r="E31" s="712"/>
      <c r="F31" s="712"/>
      <c r="G31" s="712"/>
      <c r="H31" s="713"/>
      <c r="I31" s="256" t="s">
        <v>311</v>
      </c>
      <c r="J31" s="257"/>
      <c r="K31" s="162"/>
      <c r="L31" s="162"/>
      <c r="M31" s="8"/>
      <c r="N31" s="145"/>
      <c r="O31" s="8"/>
    </row>
    <row r="32" spans="2:15" ht="22.5" customHeight="1" x14ac:dyDescent="0.2">
      <c r="B32" s="423"/>
      <c r="C32" s="424"/>
      <c r="D32" s="424"/>
      <c r="E32" s="424"/>
      <c r="F32" s="424"/>
      <c r="G32" s="424"/>
      <c r="H32" s="425"/>
      <c r="I32" s="430" t="s">
        <v>400</v>
      </c>
      <c r="J32" s="257"/>
      <c r="K32" s="162"/>
      <c r="L32" s="162"/>
      <c r="M32" s="8"/>
      <c r="N32" s="145"/>
      <c r="O32" s="8"/>
    </row>
    <row r="33" spans="2:48" ht="51.75" customHeight="1" x14ac:dyDescent="0.2">
      <c r="B33" s="605" t="s">
        <v>432</v>
      </c>
      <c r="C33" s="606"/>
      <c r="D33" s="606"/>
      <c r="E33" s="606"/>
      <c r="F33" s="606"/>
      <c r="G33" s="606"/>
      <c r="H33" s="607"/>
      <c r="I33" s="721"/>
      <c r="J33" s="722"/>
      <c r="K33" s="162"/>
      <c r="L33" s="162"/>
      <c r="M33" s="8"/>
      <c r="N33" s="145"/>
      <c r="O33" s="8"/>
    </row>
    <row r="34" spans="2:48" ht="34.5" customHeight="1" thickBot="1" x14ac:dyDescent="0.25">
      <c r="B34" s="608"/>
      <c r="C34" s="609"/>
      <c r="D34" s="609"/>
      <c r="E34" s="609"/>
      <c r="F34" s="609"/>
      <c r="G34" s="609"/>
      <c r="H34" s="610"/>
      <c r="I34" s="721"/>
      <c r="J34" s="722"/>
      <c r="K34" s="162"/>
      <c r="L34" s="162"/>
      <c r="M34" s="8"/>
      <c r="N34" s="145"/>
      <c r="O34" s="8"/>
    </row>
    <row r="35" spans="2:48" ht="39.75" customHeight="1" thickBot="1" x14ac:dyDescent="0.25">
      <c r="B35" s="611" t="s">
        <v>397</v>
      </c>
      <c r="C35" s="612"/>
      <c r="D35" s="612"/>
      <c r="E35" s="612"/>
      <c r="F35" s="612"/>
      <c r="G35" s="612"/>
      <c r="H35" s="613"/>
      <c r="I35" s="603"/>
      <c r="J35" s="604"/>
    </row>
    <row r="36" spans="2:48" ht="15.75" customHeight="1" thickBot="1" x14ac:dyDescent="0.25">
      <c r="B36" s="8"/>
      <c r="C36" s="8"/>
      <c r="D36" s="8"/>
      <c r="E36" s="8"/>
      <c r="F36" s="8"/>
      <c r="G36" s="8"/>
      <c r="H36" s="93"/>
      <c r="I36" s="93"/>
      <c r="J36" s="93"/>
      <c r="K36" s="93"/>
      <c r="N36" s="251"/>
    </row>
    <row r="37" spans="2:48" ht="35.25" customHeight="1" thickBot="1" x14ac:dyDescent="0.25">
      <c r="B37" s="5"/>
      <c r="C37" s="23"/>
      <c r="D37" s="23"/>
      <c r="E37" s="23"/>
      <c r="F37" s="23"/>
      <c r="G37" s="23"/>
      <c r="H37" s="23"/>
      <c r="I37" s="23"/>
      <c r="J37" s="258" t="s">
        <v>137</v>
      </c>
      <c r="K37" s="641" t="s">
        <v>399</v>
      </c>
      <c r="L37" s="589"/>
      <c r="M37" s="103"/>
      <c r="N37" s="103"/>
      <c r="O37" s="103"/>
      <c r="P37" s="103"/>
      <c r="Q37" s="103"/>
      <c r="R37" s="103"/>
      <c r="S37" s="8"/>
      <c r="T37" s="8"/>
    </row>
    <row r="38" spans="2:48" ht="37.5" customHeight="1" x14ac:dyDescent="0.2">
      <c r="B38" s="657" t="s">
        <v>58</v>
      </c>
      <c r="C38" s="719" t="s">
        <v>441</v>
      </c>
      <c r="D38" s="719"/>
      <c r="E38" s="719"/>
      <c r="F38" s="719"/>
      <c r="G38" s="719"/>
      <c r="H38" s="719"/>
      <c r="I38" s="719"/>
      <c r="J38" s="259"/>
      <c r="K38" s="698" t="s">
        <v>438</v>
      </c>
      <c r="L38" s="699"/>
      <c r="M38" s="8"/>
      <c r="N38" s="8"/>
      <c r="O38" s="104"/>
      <c r="Q38" s="104"/>
      <c r="R38" s="104"/>
    </row>
    <row r="39" spans="2:48" ht="58.5" customHeight="1" x14ac:dyDescent="0.2">
      <c r="B39" s="658"/>
      <c r="C39" s="720" t="s">
        <v>446</v>
      </c>
      <c r="D39" s="720"/>
      <c r="E39" s="720"/>
      <c r="F39" s="720"/>
      <c r="G39" s="720"/>
      <c r="H39" s="720"/>
      <c r="I39" s="720"/>
      <c r="J39" s="260"/>
      <c r="K39" s="672" t="s">
        <v>436</v>
      </c>
      <c r="L39" s="673"/>
      <c r="M39" s="8"/>
      <c r="N39" s="8"/>
      <c r="O39" s="8"/>
      <c r="P39" s="104"/>
      <c r="Q39" s="8"/>
      <c r="R39" s="8"/>
      <c r="S39" s="101"/>
      <c r="T39" s="101"/>
    </row>
    <row r="40" spans="2:48" ht="37.5" customHeight="1" x14ac:dyDescent="0.2">
      <c r="B40" s="658"/>
      <c r="C40" s="668" t="s">
        <v>442</v>
      </c>
      <c r="D40" s="668"/>
      <c r="E40" s="668"/>
      <c r="F40" s="668"/>
      <c r="G40" s="668"/>
      <c r="H40" s="668"/>
      <c r="I40" s="668"/>
      <c r="J40" s="260"/>
      <c r="K40" s="672" t="s">
        <v>439</v>
      </c>
      <c r="L40" s="673"/>
      <c r="M40" s="104"/>
      <c r="N40" s="104"/>
      <c r="O40" s="104"/>
      <c r="P40" s="104"/>
      <c r="Q40" s="104"/>
      <c r="R40" s="104"/>
    </row>
    <row r="41" spans="2:48" ht="37.5" customHeight="1" x14ac:dyDescent="0.2">
      <c r="B41" s="658"/>
      <c r="C41" s="668" t="s">
        <v>443</v>
      </c>
      <c r="D41" s="668"/>
      <c r="E41" s="668"/>
      <c r="F41" s="668"/>
      <c r="G41" s="668"/>
      <c r="H41" s="668"/>
      <c r="I41" s="668"/>
      <c r="J41" s="260"/>
      <c r="K41" s="672" t="s">
        <v>147</v>
      </c>
      <c r="L41" s="673"/>
      <c r="M41" s="8"/>
      <c r="N41" s="8"/>
      <c r="O41" s="157"/>
      <c r="P41" s="8"/>
      <c r="Q41" s="8"/>
      <c r="R41" s="8"/>
    </row>
    <row r="42" spans="2:48" ht="47.25" customHeight="1" thickBot="1" x14ac:dyDescent="0.25">
      <c r="B42" s="659"/>
      <c r="C42" s="667" t="s">
        <v>437</v>
      </c>
      <c r="D42" s="667"/>
      <c r="E42" s="667"/>
      <c r="F42" s="667"/>
      <c r="G42" s="667"/>
      <c r="H42" s="667"/>
      <c r="I42" s="667"/>
      <c r="J42" s="261" t="str">
        <f>IFERROR(AN44/J39, " ")</f>
        <v xml:space="preserve"> </v>
      </c>
      <c r="K42" s="674" t="s">
        <v>168</v>
      </c>
      <c r="L42" s="675"/>
      <c r="M42" s="8"/>
      <c r="N42" s="8"/>
      <c r="O42" s="102"/>
      <c r="P42" s="8"/>
      <c r="Q42" s="8"/>
      <c r="R42" s="8"/>
    </row>
    <row r="43" spans="2:48" ht="15.75" customHeight="1" thickBot="1" x14ac:dyDescent="0.25">
      <c r="B43" s="107"/>
      <c r="C43" s="102"/>
      <c r="D43" s="102"/>
      <c r="E43" s="102"/>
      <c r="F43" s="102"/>
      <c r="G43" s="102"/>
      <c r="H43" s="102"/>
      <c r="I43" s="102"/>
      <c r="J43" s="159"/>
      <c r="K43" s="102"/>
      <c r="L43" s="102"/>
      <c r="M43" s="102"/>
      <c r="N43" s="102"/>
      <c r="O43" s="102"/>
      <c r="P43" s="102"/>
      <c r="Q43" s="102"/>
      <c r="R43" s="102"/>
    </row>
    <row r="44" spans="2:48" ht="27" customHeight="1" x14ac:dyDescent="0.2">
      <c r="B44" s="669" t="s">
        <v>259</v>
      </c>
      <c r="C44" s="670"/>
      <c r="D44" s="670"/>
      <c r="E44" s="670"/>
      <c r="F44" s="670"/>
      <c r="G44" s="670"/>
      <c r="H44" s="670"/>
      <c r="I44" s="670"/>
      <c r="J44" s="670"/>
      <c r="K44" s="670"/>
      <c r="L44" s="671"/>
      <c r="M44" s="103"/>
      <c r="N44" s="103"/>
      <c r="O44" s="102"/>
      <c r="P44" s="102"/>
      <c r="Q44" s="102"/>
      <c r="R44" s="102"/>
      <c r="AN44" s="100">
        <f>J41+J40</f>
        <v>0</v>
      </c>
    </row>
    <row r="45" spans="2:48" ht="102" customHeight="1" x14ac:dyDescent="0.25">
      <c r="B45" s="632" t="s">
        <v>416</v>
      </c>
      <c r="C45" s="633"/>
      <c r="D45" s="633"/>
      <c r="E45" s="633"/>
      <c r="F45" s="633"/>
      <c r="G45" s="633"/>
      <c r="H45" s="633"/>
      <c r="I45" s="633"/>
      <c r="J45" s="633"/>
      <c r="K45" s="633"/>
      <c r="L45" s="634"/>
      <c r="M45" s="8"/>
      <c r="N45" s="8"/>
      <c r="U45" s="108"/>
      <c r="V45" s="108"/>
      <c r="W45" s="108"/>
      <c r="X45" s="108"/>
      <c r="Y45" s="108"/>
      <c r="AN45" s="108" t="s">
        <v>148</v>
      </c>
      <c r="AO45" s="108" t="s">
        <v>149</v>
      </c>
      <c r="AP45" s="108" t="s">
        <v>298</v>
      </c>
      <c r="AQ45" s="108" t="s">
        <v>150</v>
      </c>
      <c r="AR45" s="108" t="s">
        <v>151</v>
      </c>
      <c r="AS45" s="108" t="s">
        <v>158</v>
      </c>
      <c r="AT45" s="108" t="s">
        <v>156</v>
      </c>
      <c r="AU45" s="108" t="s">
        <v>159</v>
      </c>
      <c r="AV45" s="108"/>
    </row>
    <row r="46" spans="2:48" ht="51.75" customHeight="1" thickBot="1" x14ac:dyDescent="0.25">
      <c r="B46" s="676" t="s">
        <v>434</v>
      </c>
      <c r="C46" s="677"/>
      <c r="D46" s="677"/>
      <c r="E46" s="677"/>
      <c r="F46" s="677"/>
      <c r="G46" s="677"/>
      <c r="H46" s="677"/>
      <c r="I46" s="677"/>
      <c r="J46" s="677"/>
      <c r="K46" s="678"/>
      <c r="L46" s="262"/>
      <c r="M46" s="8"/>
      <c r="N46" s="8"/>
      <c r="U46" s="113"/>
      <c r="V46" s="113"/>
      <c r="W46" s="113"/>
      <c r="X46" s="113"/>
      <c r="Y46" s="113"/>
      <c r="Z46" s="114"/>
      <c r="AN46" s="144" t="str">
        <f>J42</f>
        <v xml:space="preserve"> </v>
      </c>
      <c r="AO46" t="e">
        <f>AN46*10000</f>
        <v>#VALUE!</v>
      </c>
      <c r="AP46" s="109" t="e">
        <f>SQRT(AO46)*4</f>
        <v>#VALUE!</v>
      </c>
      <c r="AQ46" s="109" t="e">
        <f>AP46-8</f>
        <v>#VALUE!</v>
      </c>
      <c r="AR46" s="109" t="e">
        <f>AQ46/(AO46/10000)</f>
        <v>#VALUE!</v>
      </c>
      <c r="AS46" s="109" t="e">
        <f>AR46*0.72</f>
        <v>#VALUE!</v>
      </c>
      <c r="AT46" s="109" t="e">
        <f>AR46*0.53</f>
        <v>#VALUE!</v>
      </c>
      <c r="AU46" s="109" t="e">
        <f>AR46*0.19</f>
        <v>#VALUE!</v>
      </c>
      <c r="AV46" s="113"/>
    </row>
    <row r="47" spans="2:48" ht="15.75" customHeight="1" thickBot="1" x14ac:dyDescent="0.25">
      <c r="B47" s="263"/>
      <c r="C47" s="22"/>
      <c r="D47" s="22"/>
      <c r="E47" s="22"/>
      <c r="F47" s="22"/>
      <c r="G47" s="22"/>
      <c r="H47" s="22"/>
      <c r="I47" s="22"/>
      <c r="J47" s="22"/>
      <c r="K47" s="22"/>
      <c r="L47" s="58"/>
      <c r="M47" s="111"/>
      <c r="N47" s="111"/>
      <c r="Q47" s="8"/>
      <c r="AR47" s="113" t="e">
        <f>AR46*$AN$44</f>
        <v>#VALUE!</v>
      </c>
      <c r="AS47" s="113" t="e">
        <f>AS46*$AN$44</f>
        <v>#VALUE!</v>
      </c>
      <c r="AT47" s="113" t="e">
        <f>AT46*$AN$44</f>
        <v>#VALUE!</v>
      </c>
      <c r="AU47" s="113" t="e">
        <f>AU46*$AN$44</f>
        <v>#VALUE!</v>
      </c>
    </row>
    <row r="48" spans="2:48" ht="33.75" customHeight="1" x14ac:dyDescent="0.25">
      <c r="B48" s="679" t="s">
        <v>152</v>
      </c>
      <c r="C48" s="680"/>
      <c r="D48" s="680"/>
      <c r="E48" s="680"/>
      <c r="F48" s="680"/>
      <c r="G48" s="680"/>
      <c r="H48" s="680"/>
      <c r="I48" s="680"/>
      <c r="J48" s="680"/>
      <c r="K48" s="680"/>
      <c r="L48" s="681"/>
      <c r="M48" s="8"/>
      <c r="N48" s="8"/>
      <c r="P48" s="104"/>
      <c r="U48" s="108"/>
      <c r="V48" s="108"/>
      <c r="W48" s="108"/>
      <c r="X48" s="108"/>
      <c r="AS48" s="114" t="e">
        <f>(AS47*H50)*0.8</f>
        <v>#VALUE!</v>
      </c>
      <c r="AT48" s="114" t="e">
        <f>(AT47*H50)*0.8</f>
        <v>#VALUE!</v>
      </c>
      <c r="AU48" s="114" t="e">
        <f>(AU47*H51)*0.8</f>
        <v>#VALUE!</v>
      </c>
      <c r="AV48" s="108"/>
    </row>
    <row r="49" spans="2:33" ht="60.75" customHeight="1" x14ac:dyDescent="0.2">
      <c r="B49" s="664" t="s">
        <v>153</v>
      </c>
      <c r="C49" s="665"/>
      <c r="D49" s="665"/>
      <c r="E49" s="665"/>
      <c r="F49" s="666"/>
      <c r="G49" s="264" t="s">
        <v>154</v>
      </c>
      <c r="H49" s="264" t="s">
        <v>157</v>
      </c>
      <c r="I49" s="95" t="s">
        <v>264</v>
      </c>
      <c r="J49" s="682" t="s">
        <v>321</v>
      </c>
      <c r="K49" s="683"/>
      <c r="L49" s="684"/>
      <c r="M49" s="8"/>
      <c r="N49" s="8"/>
      <c r="O49" s="8"/>
      <c r="P49" s="104"/>
    </row>
    <row r="50" spans="2:33" ht="58.5" customHeight="1" x14ac:dyDescent="0.25">
      <c r="B50" s="660" t="s">
        <v>97</v>
      </c>
      <c r="C50" s="661"/>
      <c r="D50" s="661"/>
      <c r="E50" s="661"/>
      <c r="F50" s="661"/>
      <c r="G50" s="265" t="e">
        <f>IF(L46="Yes hedgerows only",AS48,AT48)</f>
        <v>#VALUE!</v>
      </c>
      <c r="H50" s="266">
        <v>2</v>
      </c>
      <c r="I50" s="435" t="str">
        <f>IFERROR((G50*H50)/10000, "0")</f>
        <v>0</v>
      </c>
      <c r="J50" s="685"/>
      <c r="K50" s="686"/>
      <c r="L50" s="585"/>
      <c r="M50" s="8"/>
      <c r="N50" s="8"/>
      <c r="P50" s="143"/>
      <c r="Q50" s="143"/>
      <c r="R50" s="143"/>
      <c r="S50" s="143"/>
      <c r="T50" s="8"/>
      <c r="X50"/>
      <c r="Y50"/>
      <c r="Z50" s="109"/>
      <c r="AA50" s="109"/>
      <c r="AB50" s="109"/>
      <c r="AC50" s="109"/>
      <c r="AD50" s="109"/>
      <c r="AE50" s="109"/>
      <c r="AF50" s="109"/>
      <c r="AG50" s="109"/>
    </row>
    <row r="51" spans="2:33" ht="57" customHeight="1" thickBot="1" x14ac:dyDescent="0.25">
      <c r="B51" s="662" t="s">
        <v>162</v>
      </c>
      <c r="C51" s="663"/>
      <c r="D51" s="663"/>
      <c r="E51" s="663"/>
      <c r="F51" s="663"/>
      <c r="G51" s="267" t="e">
        <f>IF(L46="Yes hedgerows only","Not present",AU48)</f>
        <v>#VALUE!</v>
      </c>
      <c r="H51" s="268">
        <f>IF(L46="Yes hedgerows only","Not present",2)</f>
        <v>2</v>
      </c>
      <c r="I51" s="261" t="str">
        <f>IFERROR((G51*H51)/10000, "0")</f>
        <v>0</v>
      </c>
      <c r="J51" s="687"/>
      <c r="K51" s="688"/>
      <c r="L51" s="587"/>
      <c r="M51" s="8"/>
      <c r="N51" s="8"/>
      <c r="O51" s="8"/>
      <c r="P51" s="8"/>
      <c r="Q51" s="8"/>
      <c r="R51" s="8"/>
      <c r="S51" s="8"/>
      <c r="T51" s="109"/>
      <c r="U51" s="109"/>
      <c r="V51" s="113"/>
    </row>
    <row r="52" spans="2:33" ht="18.75" customHeight="1" thickBot="1" x14ac:dyDescent="0.25">
      <c r="B52" s="395"/>
      <c r="C52" s="396"/>
      <c r="D52" s="396"/>
      <c r="E52" s="396"/>
      <c r="F52" s="396"/>
      <c r="G52" s="431"/>
      <c r="H52" s="222"/>
      <c r="I52" s="397"/>
      <c r="J52" s="58"/>
      <c r="K52" s="58"/>
      <c r="L52" s="58"/>
      <c r="M52" s="8"/>
      <c r="N52" s="8"/>
      <c r="O52" s="8"/>
      <c r="P52" s="8"/>
      <c r="Q52" s="8"/>
      <c r="R52" s="8"/>
      <c r="S52" s="8"/>
      <c r="T52" s="109"/>
      <c r="U52" s="109"/>
      <c r="V52" s="113"/>
    </row>
    <row r="53" spans="2:33" ht="43.5" customHeight="1" thickBot="1" x14ac:dyDescent="0.25">
      <c r="B53" s="644" t="s">
        <v>338</v>
      </c>
      <c r="C53" s="645"/>
      <c r="D53" s="645"/>
      <c r="E53" s="645"/>
      <c r="F53" s="645"/>
      <c r="G53" s="645"/>
      <c r="H53" s="645"/>
      <c r="I53" s="645"/>
      <c r="J53" s="645"/>
      <c r="K53" s="642"/>
      <c r="L53" s="643"/>
      <c r="M53" s="8"/>
      <c r="R53" s="102"/>
    </row>
    <row r="54" spans="2:33" ht="18.75" customHeight="1" thickBot="1" x14ac:dyDescent="0.25">
      <c r="B54" s="110"/>
      <c r="C54" s="111"/>
      <c r="D54" s="111"/>
      <c r="E54" s="111"/>
      <c r="F54" s="111"/>
      <c r="G54" s="111"/>
      <c r="H54" s="111"/>
      <c r="I54" s="292"/>
      <c r="J54" s="111"/>
      <c r="K54" s="102"/>
      <c r="L54" s="8"/>
      <c r="M54" s="8"/>
      <c r="N54" s="102"/>
      <c r="O54" s="102"/>
      <c r="P54" s="102"/>
      <c r="Q54" s="102"/>
      <c r="R54" s="102"/>
    </row>
    <row r="55" spans="2:33" ht="48" customHeight="1" thickBot="1" x14ac:dyDescent="0.25">
      <c r="B55" s="597" t="s">
        <v>335</v>
      </c>
      <c r="C55" s="598"/>
      <c r="D55" s="598"/>
      <c r="E55" s="598"/>
      <c r="F55" s="598"/>
      <c r="G55" s="598"/>
      <c r="H55" s="624" t="s">
        <v>111</v>
      </c>
      <c r="I55" s="625"/>
      <c r="J55" s="269"/>
      <c r="K55" s="641" t="s">
        <v>399</v>
      </c>
      <c r="L55" s="589"/>
      <c r="M55" s="102"/>
      <c r="N55" s="102"/>
      <c r="O55" s="102"/>
      <c r="P55" s="102"/>
      <c r="Q55" s="102"/>
    </row>
    <row r="56" spans="2:33" ht="48" customHeight="1" x14ac:dyDescent="0.2">
      <c r="B56" s="599"/>
      <c r="C56" s="600"/>
      <c r="D56" s="600"/>
      <c r="E56" s="600"/>
      <c r="F56" s="600"/>
      <c r="G56" s="600"/>
      <c r="H56" s="626" t="s">
        <v>94</v>
      </c>
      <c r="I56" s="627"/>
      <c r="J56" s="270"/>
      <c r="K56" s="582" t="s">
        <v>334</v>
      </c>
      <c r="L56" s="583"/>
      <c r="Q56" s="102"/>
    </row>
    <row r="57" spans="2:33" ht="48" customHeight="1" thickBot="1" x14ac:dyDescent="0.25">
      <c r="B57" s="601"/>
      <c r="C57" s="602"/>
      <c r="D57" s="602"/>
      <c r="E57" s="602"/>
      <c r="F57" s="602"/>
      <c r="G57" s="602"/>
      <c r="H57" s="628" t="s">
        <v>95</v>
      </c>
      <c r="I57" s="629"/>
      <c r="J57" s="226">
        <f>(J55*J56)/10000</f>
        <v>0</v>
      </c>
      <c r="K57" s="586"/>
      <c r="L57" s="587"/>
      <c r="Q57" s="102"/>
    </row>
    <row r="58" spans="2:33" ht="15.75" customHeight="1" thickBot="1" x14ac:dyDescent="0.25">
      <c r="B58" s="271"/>
      <c r="C58" s="58"/>
      <c r="D58" s="58"/>
      <c r="E58" s="58"/>
      <c r="F58" s="58"/>
      <c r="G58" s="58"/>
      <c r="H58" s="58"/>
      <c r="I58" s="58"/>
      <c r="J58" s="58"/>
      <c r="K58" s="272"/>
      <c r="L58" s="23"/>
      <c r="M58" s="8"/>
      <c r="R58" s="102"/>
    </row>
    <row r="59" spans="2:33" ht="43.5" customHeight="1" thickBot="1" x14ac:dyDescent="0.25">
      <c r="B59" s="618" t="s">
        <v>336</v>
      </c>
      <c r="C59" s="619"/>
      <c r="D59" s="619"/>
      <c r="E59" s="619"/>
      <c r="F59" s="619"/>
      <c r="G59" s="619"/>
      <c r="H59" s="624" t="s">
        <v>191</v>
      </c>
      <c r="I59" s="625"/>
      <c r="J59" s="273"/>
      <c r="K59" s="641" t="s">
        <v>399</v>
      </c>
      <c r="L59" s="589"/>
      <c r="M59" s="8"/>
      <c r="R59" s="102"/>
    </row>
    <row r="60" spans="2:33" ht="43.5" customHeight="1" x14ac:dyDescent="0.2">
      <c r="B60" s="620"/>
      <c r="C60" s="621"/>
      <c r="D60" s="621"/>
      <c r="E60" s="621"/>
      <c r="F60" s="621"/>
      <c r="G60" s="621"/>
      <c r="H60" s="626" t="s">
        <v>192</v>
      </c>
      <c r="I60" s="627"/>
      <c r="J60" s="274"/>
      <c r="K60" s="582" t="s">
        <v>337</v>
      </c>
      <c r="L60" s="583"/>
      <c r="M60" s="8"/>
      <c r="R60" s="102"/>
    </row>
    <row r="61" spans="2:33" ht="43.5" customHeight="1" x14ac:dyDescent="0.2">
      <c r="B61" s="620"/>
      <c r="C61" s="621"/>
      <c r="D61" s="621"/>
      <c r="E61" s="621"/>
      <c r="F61" s="621"/>
      <c r="G61" s="621"/>
      <c r="H61" s="626" t="s">
        <v>193</v>
      </c>
      <c r="I61" s="627"/>
      <c r="J61" s="274"/>
      <c r="K61" s="584"/>
      <c r="L61" s="585"/>
      <c r="M61" s="8"/>
      <c r="R61" s="102"/>
    </row>
    <row r="62" spans="2:33" ht="43.5" customHeight="1" x14ac:dyDescent="0.2">
      <c r="B62" s="620"/>
      <c r="C62" s="621"/>
      <c r="D62" s="621"/>
      <c r="E62" s="621"/>
      <c r="F62" s="621"/>
      <c r="G62" s="621"/>
      <c r="H62" s="626" t="s">
        <v>194</v>
      </c>
      <c r="I62" s="627"/>
      <c r="J62" s="274"/>
      <c r="K62" s="584"/>
      <c r="L62" s="585"/>
      <c r="M62" s="8"/>
      <c r="R62" s="102"/>
    </row>
    <row r="63" spans="2:33" ht="43.5" customHeight="1" thickBot="1" x14ac:dyDescent="0.25">
      <c r="B63" s="622"/>
      <c r="C63" s="623"/>
      <c r="D63" s="623"/>
      <c r="E63" s="623"/>
      <c r="F63" s="623"/>
      <c r="G63" s="623"/>
      <c r="H63" s="616" t="s">
        <v>195</v>
      </c>
      <c r="I63" s="617"/>
      <c r="J63" s="213">
        <f>SUM(J59:J62)</f>
        <v>0</v>
      </c>
      <c r="K63" s="586"/>
      <c r="L63" s="587"/>
      <c r="M63" s="8"/>
      <c r="R63" s="102"/>
    </row>
    <row r="64" spans="2:33" ht="15.75" customHeight="1" thickBot="1" x14ac:dyDescent="0.25">
      <c r="B64" s="271"/>
      <c r="C64" s="58"/>
      <c r="D64" s="58"/>
      <c r="E64" s="58"/>
      <c r="F64" s="58"/>
      <c r="G64" s="58"/>
      <c r="H64" s="58"/>
      <c r="I64" s="58"/>
      <c r="J64" s="58"/>
      <c r="K64" s="272"/>
      <c r="L64" s="5"/>
      <c r="M64" s="8"/>
      <c r="R64" s="102"/>
    </row>
    <row r="65" spans="2:14" ht="77.25" customHeight="1" thickBot="1" x14ac:dyDescent="0.25">
      <c r="B65" s="630" t="s">
        <v>169</v>
      </c>
      <c r="C65" s="631"/>
      <c r="D65" s="631"/>
      <c r="E65" s="631"/>
      <c r="F65" s="631"/>
      <c r="G65" s="631"/>
      <c r="H65" s="631"/>
      <c r="I65" s="614" t="s">
        <v>167</v>
      </c>
      <c r="J65" s="615"/>
      <c r="K65" s="588" t="s">
        <v>399</v>
      </c>
      <c r="L65" s="589"/>
    </row>
    <row r="66" spans="2:14" ht="82.5" customHeight="1" thickBot="1" x14ac:dyDescent="0.25">
      <c r="B66" s="652" t="s">
        <v>322</v>
      </c>
      <c r="C66" s="653"/>
      <c r="D66" s="653"/>
      <c r="E66" s="653"/>
      <c r="F66" s="653"/>
      <c r="G66" s="653"/>
      <c r="H66" s="653"/>
      <c r="I66" s="454"/>
      <c r="J66" s="275" t="s">
        <v>113</v>
      </c>
      <c r="K66" s="648" t="s">
        <v>398</v>
      </c>
      <c r="L66" s="649"/>
    </row>
    <row r="67" spans="2:14" ht="43.5" customHeight="1" x14ac:dyDescent="0.2">
      <c r="B67" s="593" t="s">
        <v>323</v>
      </c>
      <c r="C67" s="594"/>
      <c r="D67" s="594"/>
      <c r="E67" s="594"/>
      <c r="F67" s="594"/>
      <c r="G67" s="594"/>
      <c r="H67" s="594"/>
      <c r="I67" s="452"/>
      <c r="J67" s="275" t="s">
        <v>113</v>
      </c>
      <c r="K67" s="5"/>
      <c r="L67" s="426"/>
    </row>
    <row r="68" spans="2:14" ht="63.75" customHeight="1" x14ac:dyDescent="0.2">
      <c r="B68" s="593" t="s">
        <v>324</v>
      </c>
      <c r="C68" s="594"/>
      <c r="D68" s="594"/>
      <c r="E68" s="594"/>
      <c r="F68" s="594"/>
      <c r="G68" s="594"/>
      <c r="H68" s="594"/>
      <c r="I68" s="454"/>
      <c r="J68" s="275" t="s">
        <v>113</v>
      </c>
      <c r="K68" s="5"/>
      <c r="L68" s="426"/>
    </row>
    <row r="69" spans="2:14" ht="27" customHeight="1" x14ac:dyDescent="0.2">
      <c r="B69" s="591" t="s">
        <v>236</v>
      </c>
      <c r="C69" s="592"/>
      <c r="D69" s="592"/>
      <c r="E69" s="592"/>
      <c r="F69" s="592"/>
      <c r="G69" s="592"/>
      <c r="H69" s="592"/>
      <c r="I69" s="454"/>
      <c r="J69" s="275" t="s">
        <v>113</v>
      </c>
      <c r="K69" s="5"/>
      <c r="L69" s="426"/>
    </row>
    <row r="70" spans="2:14" ht="27" customHeight="1" x14ac:dyDescent="0.2">
      <c r="B70" s="654" t="s">
        <v>237</v>
      </c>
      <c r="C70" s="655"/>
      <c r="D70" s="655"/>
      <c r="E70" s="655"/>
      <c r="F70" s="655"/>
      <c r="G70" s="655"/>
      <c r="H70" s="656"/>
      <c r="I70" s="454"/>
      <c r="J70" s="275" t="s">
        <v>113</v>
      </c>
      <c r="K70" s="5"/>
      <c r="L70" s="426"/>
    </row>
    <row r="71" spans="2:14" ht="43.5" customHeight="1" x14ac:dyDescent="0.2">
      <c r="B71" s="593" t="s">
        <v>325</v>
      </c>
      <c r="C71" s="594"/>
      <c r="D71" s="594"/>
      <c r="E71" s="594"/>
      <c r="F71" s="594"/>
      <c r="G71" s="594"/>
      <c r="H71" s="594"/>
      <c r="I71" s="454"/>
      <c r="J71" s="275" t="s">
        <v>113</v>
      </c>
      <c r="K71" s="5"/>
      <c r="L71" s="426"/>
    </row>
    <row r="72" spans="2:14" ht="43.5" customHeight="1" x14ac:dyDescent="0.2">
      <c r="B72" s="593" t="s">
        <v>326</v>
      </c>
      <c r="C72" s="594"/>
      <c r="D72" s="594"/>
      <c r="E72" s="594"/>
      <c r="F72" s="594"/>
      <c r="G72" s="594"/>
      <c r="H72" s="594"/>
      <c r="I72" s="454"/>
      <c r="J72" s="275" t="s">
        <v>113</v>
      </c>
      <c r="K72" s="5"/>
      <c r="L72" s="426"/>
    </row>
    <row r="73" spans="2:14" ht="43.5" customHeight="1" x14ac:dyDescent="0.2">
      <c r="B73" s="593" t="s">
        <v>327</v>
      </c>
      <c r="C73" s="594"/>
      <c r="D73" s="594"/>
      <c r="E73" s="594"/>
      <c r="F73" s="594"/>
      <c r="G73" s="594"/>
      <c r="H73" s="594"/>
      <c r="I73" s="454"/>
      <c r="J73" s="275" t="s">
        <v>113</v>
      </c>
      <c r="K73" s="5"/>
      <c r="L73" s="426"/>
    </row>
    <row r="74" spans="2:14" ht="27" customHeight="1" x14ac:dyDescent="0.2">
      <c r="B74" s="591" t="s">
        <v>138</v>
      </c>
      <c r="C74" s="592"/>
      <c r="D74" s="592"/>
      <c r="E74" s="592"/>
      <c r="F74" s="592"/>
      <c r="G74" s="592"/>
      <c r="H74" s="592"/>
      <c r="I74" s="454"/>
      <c r="J74" s="275" t="s">
        <v>113</v>
      </c>
      <c r="K74" s="5"/>
      <c r="L74" s="426"/>
    </row>
    <row r="75" spans="2:14" ht="27" customHeight="1" x14ac:dyDescent="0.2">
      <c r="B75" s="591" t="s">
        <v>37</v>
      </c>
      <c r="C75" s="592"/>
      <c r="D75" s="592"/>
      <c r="E75" s="592"/>
      <c r="F75" s="592"/>
      <c r="G75" s="592"/>
      <c r="H75" s="592"/>
      <c r="I75" s="454"/>
      <c r="J75" s="276" t="s">
        <v>113</v>
      </c>
      <c r="K75" s="5"/>
      <c r="L75" s="426"/>
    </row>
    <row r="76" spans="2:14" ht="27" customHeight="1" thickBot="1" x14ac:dyDescent="0.25">
      <c r="B76" s="591" t="s">
        <v>170</v>
      </c>
      <c r="C76" s="592"/>
      <c r="D76" s="592"/>
      <c r="E76" s="592"/>
      <c r="F76" s="592"/>
      <c r="G76" s="592"/>
      <c r="H76" s="592"/>
      <c r="I76" s="454"/>
      <c r="J76" s="275" t="s">
        <v>113</v>
      </c>
      <c r="K76" s="5"/>
      <c r="L76" s="426"/>
    </row>
    <row r="77" spans="2:14" ht="45.75" customHeight="1" thickBot="1" x14ac:dyDescent="0.25">
      <c r="B77" s="593" t="s">
        <v>328</v>
      </c>
      <c r="C77" s="594"/>
      <c r="D77" s="594"/>
      <c r="E77" s="594"/>
      <c r="F77" s="594"/>
      <c r="G77" s="594"/>
      <c r="H77" s="594"/>
      <c r="I77" s="454"/>
      <c r="J77" s="275" t="s">
        <v>113</v>
      </c>
      <c r="K77" s="590" t="s">
        <v>396</v>
      </c>
      <c r="L77" s="583"/>
      <c r="N77" s="277">
        <f>I77/2</f>
        <v>0</v>
      </c>
    </row>
    <row r="78" spans="2:14" ht="27" customHeight="1" x14ac:dyDescent="0.2">
      <c r="B78" s="591" t="s">
        <v>278</v>
      </c>
      <c r="C78" s="592"/>
      <c r="D78" s="592"/>
      <c r="E78" s="592"/>
      <c r="F78" s="592"/>
      <c r="G78" s="592"/>
      <c r="H78" s="592"/>
      <c r="I78" s="452"/>
      <c r="J78" s="453" t="s">
        <v>113</v>
      </c>
      <c r="K78" s="455"/>
      <c r="L78" s="456"/>
      <c r="N78" s="457">
        <f>SUM(I66:I76)+N77+I78</f>
        <v>0</v>
      </c>
    </row>
    <row r="79" spans="2:14" ht="32.25" customHeight="1" thickBot="1" x14ac:dyDescent="0.25">
      <c r="B79" s="595" t="s">
        <v>163</v>
      </c>
      <c r="C79" s="596"/>
      <c r="D79" s="596"/>
      <c r="E79" s="596"/>
      <c r="F79" s="596"/>
      <c r="G79" s="596"/>
      <c r="H79" s="596"/>
      <c r="I79" s="650"/>
      <c r="J79" s="651"/>
      <c r="K79" s="427"/>
      <c r="L79" s="428"/>
    </row>
    <row r="80" spans="2:14" ht="15.75" customHeight="1" thickBot="1" x14ac:dyDescent="0.25">
      <c r="B80" s="278"/>
      <c r="C80" s="279"/>
      <c r="D80" s="279"/>
      <c r="E80" s="279"/>
      <c r="F80" s="279"/>
      <c r="G80" s="279"/>
      <c r="H80" s="279"/>
      <c r="I80" s="279"/>
      <c r="J80" s="280"/>
      <c r="K80" s="5"/>
      <c r="L80" s="5"/>
    </row>
    <row r="81" spans="2:15" ht="97.5" customHeight="1" thickBot="1" x14ac:dyDescent="0.25">
      <c r="B81" s="278"/>
      <c r="C81" s="646" t="s">
        <v>433</v>
      </c>
      <c r="D81" s="588"/>
      <c r="E81" s="588"/>
      <c r="F81" s="588"/>
      <c r="G81" s="588"/>
      <c r="H81" s="588"/>
      <c r="I81" s="588"/>
      <c r="J81" s="588"/>
      <c r="K81" s="588"/>
      <c r="L81" s="589"/>
      <c r="M81" s="169"/>
      <c r="N81" s="169"/>
    </row>
    <row r="82" spans="2:15" ht="15.75" customHeight="1" thickBot="1" x14ac:dyDescent="0.25">
      <c r="B82" s="112"/>
    </row>
    <row r="83" spans="2:15" ht="23.25" customHeight="1" x14ac:dyDescent="0.2">
      <c r="C83" s="281" t="s">
        <v>417</v>
      </c>
      <c r="D83" s="282"/>
      <c r="E83" s="63"/>
      <c r="F83" s="63"/>
      <c r="G83" s="63"/>
      <c r="H83" s="63"/>
      <c r="I83" s="64"/>
    </row>
    <row r="84" spans="2:15" ht="23.25" customHeight="1" x14ac:dyDescent="0.2">
      <c r="C84" s="283"/>
      <c r="D84" s="284"/>
      <c r="E84" s="647"/>
      <c r="F84" s="647"/>
      <c r="G84" s="285"/>
      <c r="H84" s="522" t="e">
        <f>H90</f>
        <v>#DIV/0!</v>
      </c>
      <c r="I84" s="523" t="s">
        <v>179</v>
      </c>
      <c r="O84" s="473"/>
    </row>
    <row r="85" spans="2:15" ht="23.25" customHeight="1" x14ac:dyDescent="0.2">
      <c r="C85" s="635" t="s">
        <v>231</v>
      </c>
      <c r="D85" s="636"/>
      <c r="E85" s="636"/>
      <c r="F85" s="636"/>
      <c r="G85" s="637"/>
      <c r="H85" s="286">
        <f>J38</f>
        <v>0</v>
      </c>
      <c r="I85" s="287" t="s">
        <v>113</v>
      </c>
    </row>
    <row r="86" spans="2:15" ht="23.25" customHeight="1" x14ac:dyDescent="0.2">
      <c r="C86" s="635" t="s">
        <v>232</v>
      </c>
      <c r="D86" s="636"/>
      <c r="E86" s="636"/>
      <c r="F86" s="636"/>
      <c r="G86" s="637"/>
      <c r="H86" s="288">
        <f>I50+I51+J57+J59+J60+J61</f>
        <v>0</v>
      </c>
      <c r="I86" s="287" t="s">
        <v>113</v>
      </c>
    </row>
    <row r="87" spans="2:15" ht="23.25" customHeight="1" x14ac:dyDescent="0.2">
      <c r="C87" s="635" t="s">
        <v>233</v>
      </c>
      <c r="D87" s="636"/>
      <c r="E87" s="636"/>
      <c r="F87" s="636"/>
      <c r="G87" s="637"/>
      <c r="H87" s="288">
        <f>SUM(I66:I76)+N77+I78+J62</f>
        <v>0</v>
      </c>
      <c r="I87" s="287" t="s">
        <v>113</v>
      </c>
    </row>
    <row r="88" spans="2:15" ht="23.25" customHeight="1" x14ac:dyDescent="0.2">
      <c r="C88" s="635" t="s">
        <v>229</v>
      </c>
      <c r="D88" s="636"/>
      <c r="E88" s="636"/>
      <c r="F88" s="636"/>
      <c r="G88" s="637"/>
      <c r="H88" s="288">
        <f>H85-H87-H86</f>
        <v>0</v>
      </c>
      <c r="I88" s="287" t="s">
        <v>113</v>
      </c>
    </row>
    <row r="89" spans="2:15" ht="23.25" customHeight="1" x14ac:dyDescent="0.2">
      <c r="C89" s="635" t="s">
        <v>230</v>
      </c>
      <c r="D89" s="636"/>
      <c r="E89" s="636"/>
      <c r="F89" s="636"/>
      <c r="G89" s="637"/>
      <c r="H89" s="288">
        <f>H86+H87</f>
        <v>0</v>
      </c>
      <c r="I89" s="287" t="s">
        <v>113</v>
      </c>
    </row>
    <row r="90" spans="2:15" ht="23.25" customHeight="1" thickBot="1" x14ac:dyDescent="0.25">
      <c r="C90" s="638" t="s">
        <v>105</v>
      </c>
      <c r="D90" s="639"/>
      <c r="E90" s="639"/>
      <c r="F90" s="639"/>
      <c r="G90" s="640"/>
      <c r="H90" s="289" t="e">
        <f>(H89/H85)*100</f>
        <v>#DIV/0!</v>
      </c>
      <c r="I90" s="290" t="s">
        <v>179</v>
      </c>
    </row>
    <row r="91" spans="2:15" ht="15.75" customHeight="1" x14ac:dyDescent="0.2"/>
    <row r="92" spans="2:15" ht="15.75" customHeight="1" x14ac:dyDescent="0.2"/>
    <row r="93" spans="2:15" ht="9" customHeight="1" x14ac:dyDescent="0.2"/>
    <row r="94" spans="2:15" ht="13.5" customHeight="1" x14ac:dyDescent="0.2"/>
    <row r="95" spans="2:15" ht="99" customHeight="1" x14ac:dyDescent="0.2"/>
    <row r="96" spans="2:15" ht="15.75" hidden="1" customHeight="1" x14ac:dyDescent="0.2"/>
    <row r="97" spans="9:9" ht="15.75" hidden="1" customHeight="1" x14ac:dyDescent="0.2">
      <c r="I97" s="100"/>
    </row>
    <row r="98" spans="9:9" ht="15.75" hidden="1" customHeight="1" x14ac:dyDescent="0.2"/>
    <row r="99" spans="9:9" ht="15.75" hidden="1" customHeight="1" x14ac:dyDescent="0.2"/>
    <row r="100" spans="9:9" ht="15.75" hidden="1" customHeight="1" x14ac:dyDescent="0.2"/>
    <row r="101" spans="9:9" ht="15.75" hidden="1" customHeight="1" x14ac:dyDescent="0.2"/>
    <row r="102" spans="9:9" ht="15.75" hidden="1" customHeight="1" x14ac:dyDescent="0.2"/>
    <row r="103" spans="9:9" ht="15.75" hidden="1" customHeight="1" x14ac:dyDescent="0.2"/>
    <row r="104" spans="9:9" ht="15.75" hidden="1" customHeight="1" x14ac:dyDescent="0.2"/>
    <row r="105" spans="9:9" ht="22.5" customHeight="1" x14ac:dyDescent="0.2"/>
    <row r="106" spans="9:9" ht="22.5" customHeight="1" x14ac:dyDescent="0.2"/>
    <row r="107" spans="9:9" ht="22.5" customHeight="1" x14ac:dyDescent="0.2"/>
    <row r="108" spans="9:9" ht="41.25" customHeight="1" x14ac:dyDescent="0.2"/>
    <row r="109" spans="9:9" ht="22.5" customHeight="1" x14ac:dyDescent="0.2"/>
  </sheetData>
  <sheetProtection algorithmName="SHA-512" hashValue="d5iF0WB+eJfy5zx4n8TxGt11MV/QnFQI9nddcPrQrb8Md6tk1zOb+mjNw+Aoe2ltsCgfrkueWVEG5qYefp9h0w==" saltValue="FL9WkJ/ufA6ZKIx8hvisyg==" spinCount="100000" sheet="1" objects="1" scenarios="1" selectLockedCells="1"/>
  <protectedRanges>
    <protectedRange algorithmName="SHA-512" hashValue="kbl/lAiQPlDSb2Z3JZLINs7BMFWPTJxR1QNeSCTLHSx73z27UTfrT9vsAz7v8Fbf4ZnRMuse3kT5htmjEr7R4Q==" saltValue="9++nINpoqZ7o1vW29m3l4w==" spinCount="100000" sqref="E22 I18" name="Range1"/>
  </protectedRanges>
  <dataConsolidate link="1"/>
  <mergeCells count="76">
    <mergeCell ref="C12:L16"/>
    <mergeCell ref="K37:L37"/>
    <mergeCell ref="K38:L38"/>
    <mergeCell ref="K39:L39"/>
    <mergeCell ref="K40:L40"/>
    <mergeCell ref="I18:J18"/>
    <mergeCell ref="B18:H18"/>
    <mergeCell ref="B19:I19"/>
    <mergeCell ref="B22:J22"/>
    <mergeCell ref="B23:H31"/>
    <mergeCell ref="B21:I21"/>
    <mergeCell ref="B20:I20"/>
    <mergeCell ref="C38:I38"/>
    <mergeCell ref="C39:I39"/>
    <mergeCell ref="C40:I40"/>
    <mergeCell ref="I33:J34"/>
    <mergeCell ref="B38:B42"/>
    <mergeCell ref="B50:F50"/>
    <mergeCell ref="B51:F51"/>
    <mergeCell ref="B49:F49"/>
    <mergeCell ref="C42:I42"/>
    <mergeCell ref="C41:I41"/>
    <mergeCell ref="B44:L44"/>
    <mergeCell ref="K41:L41"/>
    <mergeCell ref="K42:L42"/>
    <mergeCell ref="B46:K46"/>
    <mergeCell ref="B48:L48"/>
    <mergeCell ref="J49:L51"/>
    <mergeCell ref="K55:L55"/>
    <mergeCell ref="K56:L57"/>
    <mergeCell ref="K53:L53"/>
    <mergeCell ref="B53:J53"/>
    <mergeCell ref="C85:G85"/>
    <mergeCell ref="C81:L81"/>
    <mergeCell ref="E84:F84"/>
    <mergeCell ref="K59:L59"/>
    <mergeCell ref="K66:L66"/>
    <mergeCell ref="I79:J79"/>
    <mergeCell ref="B66:H66"/>
    <mergeCell ref="B67:H67"/>
    <mergeCell ref="B68:H68"/>
    <mergeCell ref="B69:H69"/>
    <mergeCell ref="B70:H70"/>
    <mergeCell ref="B71:H71"/>
    <mergeCell ref="C86:G86"/>
    <mergeCell ref="C87:G87"/>
    <mergeCell ref="C90:G90"/>
    <mergeCell ref="C89:G89"/>
    <mergeCell ref="C88:G88"/>
    <mergeCell ref="B55:G57"/>
    <mergeCell ref="I35:J35"/>
    <mergeCell ref="B33:H34"/>
    <mergeCell ref="B35:H35"/>
    <mergeCell ref="I65:J65"/>
    <mergeCell ref="H63:I63"/>
    <mergeCell ref="B59:G63"/>
    <mergeCell ref="H59:I59"/>
    <mergeCell ref="H60:I60"/>
    <mergeCell ref="H61:I61"/>
    <mergeCell ref="H62:I62"/>
    <mergeCell ref="H55:I55"/>
    <mergeCell ref="H56:I56"/>
    <mergeCell ref="H57:I57"/>
    <mergeCell ref="B65:H65"/>
    <mergeCell ref="B45:L45"/>
    <mergeCell ref="B78:H78"/>
    <mergeCell ref="B79:H79"/>
    <mergeCell ref="B72:H72"/>
    <mergeCell ref="B73:H73"/>
    <mergeCell ref="B74:H74"/>
    <mergeCell ref="B75:H75"/>
    <mergeCell ref="K60:L63"/>
    <mergeCell ref="K65:L65"/>
    <mergeCell ref="K77:L77"/>
    <mergeCell ref="B76:H76"/>
    <mergeCell ref="B77:H77"/>
  </mergeCells>
  <dataValidations count="8">
    <dataValidation type="list" allowBlank="1" showInputMessage="1" showErrorMessage="1" sqref="L46" xr:uid="{707DE04C-CB47-4504-9971-0AB38A51525C}">
      <formula1>"Yes hedgerows only, Mix of hedges &amp; walls &amp; earth banks"</formula1>
    </dataValidation>
    <dataValidation type="list" allowBlank="1" showInputMessage="1" showErrorMessage="1" sqref="J19" xr:uid="{B04CAB19-8B29-4104-9FC6-A48E7FE06FB2}">
      <formula1>"2023, 2024, 2025, 2026, 2027, 2028, 2029, 2030"</formula1>
    </dataValidation>
    <dataValidation type="list" allowBlank="1" showInputMessage="1" showErrorMessage="1" sqref="I35:J35" xr:uid="{4B8A4E6E-348C-4972-A9A4-9220C0D5F2CC}">
      <formula1>"Lowland, Disadvantaged Area, Severely Disadvantaged Area"</formula1>
    </dataValidation>
    <dataValidation type="list" allowBlank="1" showInputMessage="1" showErrorMessage="1" sqref="J21" xr:uid="{9677D311-07E6-4CB4-9B99-B9DFA3DFAB6F}">
      <formula1>"Down, Armagh, Fermanagh, Tyrone, Derry/Londonderry, Antrim"</formula1>
    </dataValidation>
    <dataValidation type="list" allowBlank="1" showInputMessage="1" showErrorMessage="1" sqref="J20" xr:uid="{F548BEF0-2622-4826-9739-33EC230BCDEC}">
      <formula1>"Northern Ireland, Ireland, Other"</formula1>
    </dataValidation>
    <dataValidation type="list" allowBlank="1" showInputMessage="1" showErrorMessage="1" sqref="K53" xr:uid="{D17618DB-951F-4EBA-BDE6-142AD730804C}">
      <formula1>"Yes - used the estimated figures, No - calculated my own accurate figures"</formula1>
    </dataValidation>
    <dataValidation type="list" allowBlank="1" showInputMessage="1" showErrorMessage="1" sqref="J23:J32" xr:uid="{72A0750C-8F48-45F7-94F0-B3002FF8A741}">
      <formula1>"Yes, No"</formula1>
    </dataValidation>
    <dataValidation type="list" allowBlank="1" showInputMessage="1" showErrorMessage="1" sqref="I79" xr:uid="{08623ACC-81FA-401B-BB71-CC455AEEFBFC}">
      <formula1>"All the habitat land, Some of the habitat land, None of the habitat land"</formula1>
    </dataValidation>
  </dataValidations>
  <pageMargins left="0.23622047244094491" right="0.23622047244094491" top="0.74803149606299213" bottom="0.74803149606299213" header="0.31496062992125984" footer="0.31496062992125984"/>
  <pageSetup paperSize="9" orientation="landscape" r:id="rId1"/>
  <headerFooter>
    <oddHeader>&amp;LBenchmark 1 - % Habitat Score&amp;CCAFRE BioTool&amp;R&amp;D</oddHeader>
    <oddFooter>&amp;CTo allow CAFRE staff to compare and analyse results from a range of different farms, please email your completed assessment tool to: CAFREFarmBioTool@cafre.ac.uk</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2" tint="-9.9978637043366805E-2"/>
  </sheetPr>
  <dimension ref="A1:AV834"/>
  <sheetViews>
    <sheetView showGridLines="0" showRowColHeaders="0" topLeftCell="B1" zoomScale="120" zoomScaleNormal="120" workbookViewId="0">
      <selection activeCell="D8" sqref="D8:E8"/>
    </sheetView>
  </sheetViews>
  <sheetFormatPr defaultColWidth="6.5703125" defaultRowHeight="15" zeroHeight="1" x14ac:dyDescent="0.2"/>
  <cols>
    <col min="1" max="1" width="1" style="10" hidden="1" customWidth="1"/>
    <col min="2" max="2" width="6.28515625" style="26" customWidth="1"/>
    <col min="3" max="3" width="39.140625" style="20" customWidth="1"/>
    <col min="4" max="4" width="45.140625" style="20" customWidth="1"/>
    <col min="5" max="5" width="15.85546875" style="46" customWidth="1"/>
    <col min="6" max="6" width="7.140625" style="27" hidden="1" customWidth="1"/>
    <col min="7" max="7" width="10.7109375" style="59" hidden="1" customWidth="1"/>
    <col min="8" max="8" width="6.85546875" style="59" hidden="1" customWidth="1"/>
    <col min="9" max="9" width="30.7109375" style="10" customWidth="1"/>
    <col min="10" max="10" width="19.28515625" style="20" customWidth="1"/>
    <col min="11" max="11" width="7.140625" style="10" customWidth="1"/>
    <col min="12" max="12" width="15.28515625" style="15" customWidth="1"/>
    <col min="13" max="13" width="33" style="15" customWidth="1"/>
    <col min="14" max="15" width="15.28515625" style="15" customWidth="1"/>
    <col min="16" max="23" width="8.42578125" style="15" customWidth="1"/>
    <col min="24" max="24" width="8.42578125" style="173" customWidth="1"/>
    <col min="25" max="25" width="8.42578125" style="15" customWidth="1"/>
    <col min="26" max="26" width="8.85546875" style="15" customWidth="1"/>
    <col min="27" max="48" width="6.5703125" style="15"/>
    <col min="49" max="16383" width="6.5703125" style="10"/>
    <col min="16384" max="16384" width="6.5703125" style="10" customWidth="1"/>
  </cols>
  <sheetData>
    <row r="1" spans="2:48" ht="30.75" customHeight="1" thickBot="1" x14ac:dyDescent="0.25">
      <c r="E1" s="27"/>
    </row>
    <row r="2" spans="2:48" s="12" customFormat="1" ht="36" customHeight="1" thickBot="1" x14ac:dyDescent="0.25">
      <c r="B2" s="723" t="s">
        <v>0</v>
      </c>
      <c r="C2" s="724"/>
      <c r="D2" s="725"/>
      <c r="E2" s="28" t="s">
        <v>301</v>
      </c>
      <c r="F2" s="60" t="s">
        <v>42</v>
      </c>
      <c r="G2" s="61" t="s">
        <v>43</v>
      </c>
      <c r="H2" s="61" t="s">
        <v>44</v>
      </c>
      <c r="J2" s="21" t="s">
        <v>244</v>
      </c>
      <c r="L2" s="172"/>
      <c r="M2" s="172"/>
      <c r="N2" s="172"/>
      <c r="O2" s="172"/>
      <c r="P2" s="172"/>
      <c r="Q2" s="172"/>
      <c r="R2" s="172"/>
      <c r="S2" s="172"/>
      <c r="T2" s="172"/>
      <c r="U2" s="172"/>
      <c r="V2" s="15" t="s">
        <v>265</v>
      </c>
      <c r="W2" s="15">
        <v>0</v>
      </c>
      <c r="X2" s="173"/>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row>
    <row r="3" spans="2:48" s="12" customFormat="1" ht="33" customHeight="1" thickBot="1" x14ac:dyDescent="0.25">
      <c r="B3" s="726" t="s">
        <v>124</v>
      </c>
      <c r="C3" s="727"/>
      <c r="D3" s="727"/>
      <c r="E3" s="728"/>
      <c r="F3" s="62"/>
      <c r="G3" s="63"/>
      <c r="H3" s="64"/>
      <c r="J3" s="22"/>
      <c r="L3" s="172"/>
      <c r="M3" s="172"/>
      <c r="N3" s="172"/>
      <c r="O3" s="172"/>
      <c r="P3" s="505"/>
      <c r="Q3" s="526"/>
      <c r="R3" s="172"/>
      <c r="S3" s="172"/>
      <c r="T3" s="172"/>
      <c r="U3" s="172"/>
      <c r="V3" s="527" t="s">
        <v>285</v>
      </c>
      <c r="W3" s="15">
        <v>30</v>
      </c>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row>
    <row r="4" spans="2:48" ht="33" customHeight="1" x14ac:dyDescent="0.2">
      <c r="B4" s="729" t="s">
        <v>125</v>
      </c>
      <c r="C4" s="746" t="s">
        <v>126</v>
      </c>
      <c r="D4" s="747"/>
      <c r="E4" s="174">
        <f>'% Habitat Score'!J38</f>
        <v>0</v>
      </c>
      <c r="F4" s="65"/>
      <c r="G4" s="66"/>
      <c r="H4" s="67"/>
      <c r="J4" s="738" t="s">
        <v>183</v>
      </c>
      <c r="P4" s="528"/>
      <c r="Q4" s="526"/>
      <c r="V4" s="15" t="s">
        <v>266</v>
      </c>
      <c r="W4" s="15">
        <v>50</v>
      </c>
      <c r="X4" s="15"/>
    </row>
    <row r="5" spans="2:48" ht="33" customHeight="1" x14ac:dyDescent="0.2">
      <c r="B5" s="730"/>
      <c r="C5" s="736" t="s">
        <v>146</v>
      </c>
      <c r="D5" s="748"/>
      <c r="E5" s="175">
        <f>'% Habitat Score'!J39</f>
        <v>0</v>
      </c>
      <c r="F5" s="68"/>
      <c r="G5" s="69"/>
      <c r="H5" s="70"/>
      <c r="J5" s="739"/>
      <c r="Q5" s="529"/>
      <c r="V5" s="173"/>
      <c r="X5" s="15"/>
    </row>
    <row r="6" spans="2:48" ht="33" customHeight="1" thickBot="1" x14ac:dyDescent="0.25">
      <c r="B6" s="731"/>
      <c r="C6" s="160" t="s">
        <v>181</v>
      </c>
      <c r="D6" s="29" t="str">
        <f>IF(E6&lt;2,"Below 2ha",IF(AND(E6&gt;=2,E6&lt;=5),"Between 2-5ha",IF(E6&gt;5,"Above 5ha")))</f>
        <v>Above 5ha</v>
      </c>
      <c r="E6" s="155" t="str">
        <f>IFERROR('% Habitat Score'!J42,"")</f>
        <v xml:space="preserve"> </v>
      </c>
      <c r="F6" s="71">
        <f>IFERROR(VLOOKUP(D6, V2:W4, 2, 0), 0)</f>
        <v>0</v>
      </c>
      <c r="G6" s="72">
        <v>50</v>
      </c>
      <c r="H6" s="73"/>
      <c r="J6" s="740"/>
      <c r="P6" s="505"/>
      <c r="Q6" s="526"/>
      <c r="R6" s="528"/>
      <c r="S6" s="528"/>
      <c r="W6" s="106" t="s">
        <v>86</v>
      </c>
      <c r="X6" s="15"/>
    </row>
    <row r="7" spans="2:48" ht="33" customHeight="1" thickBot="1" x14ac:dyDescent="0.3">
      <c r="B7" s="726" t="s">
        <v>401</v>
      </c>
      <c r="C7" s="727"/>
      <c r="D7" s="727"/>
      <c r="E7" s="728"/>
      <c r="F7" s="74"/>
      <c r="G7" s="74"/>
      <c r="H7" s="75"/>
      <c r="I7" s="16"/>
      <c r="J7" s="23"/>
      <c r="M7" s="530" t="s">
        <v>293</v>
      </c>
      <c r="N7" s="530">
        <v>0</v>
      </c>
      <c r="O7" s="530" t="s">
        <v>293</v>
      </c>
      <c r="P7" s="505"/>
      <c r="Q7" s="529"/>
      <c r="R7" s="528"/>
      <c r="S7" s="528"/>
      <c r="W7" s="106" t="s">
        <v>85</v>
      </c>
      <c r="X7" s="15"/>
    </row>
    <row r="8" spans="2:48" ht="39" customHeight="1" thickBot="1" x14ac:dyDescent="0.3">
      <c r="B8" s="729" t="s">
        <v>77</v>
      </c>
      <c r="C8" s="30" t="s">
        <v>435</v>
      </c>
      <c r="D8" s="744"/>
      <c r="E8" s="745"/>
      <c r="F8" s="76">
        <f>IFERROR(VLOOKUP(D8, $M$7:$N$10, 2, 0), 0)</f>
        <v>0</v>
      </c>
      <c r="G8" s="77">
        <v>50</v>
      </c>
      <c r="H8" s="78"/>
      <c r="J8" s="164" t="s">
        <v>184</v>
      </c>
      <c r="M8" s="530" t="s">
        <v>294</v>
      </c>
      <c r="N8" s="530">
        <v>25</v>
      </c>
      <c r="O8" s="530" t="s">
        <v>294</v>
      </c>
      <c r="S8" s="528"/>
      <c r="W8" s="106" t="s">
        <v>84</v>
      </c>
      <c r="X8" s="15"/>
    </row>
    <row r="9" spans="2:48" ht="35.25" customHeight="1" thickBot="1" x14ac:dyDescent="0.3">
      <c r="B9" s="734"/>
      <c r="C9" s="736" t="s">
        <v>132</v>
      </c>
      <c r="D9" s="737"/>
      <c r="E9" s="176">
        <f>'% Habitat Score'!J40</f>
        <v>0</v>
      </c>
      <c r="F9" s="79"/>
      <c r="G9" s="80"/>
      <c r="H9" s="78"/>
      <c r="J9" s="24"/>
      <c r="L9" s="476"/>
      <c r="M9" s="530" t="s">
        <v>1</v>
      </c>
      <c r="N9" s="530">
        <v>50</v>
      </c>
      <c r="O9" s="530" t="s">
        <v>1</v>
      </c>
      <c r="S9" s="528"/>
      <c r="W9" s="15" t="s">
        <v>87</v>
      </c>
      <c r="X9" s="15"/>
    </row>
    <row r="10" spans="2:48" ht="42.75" customHeight="1" x14ac:dyDescent="0.25">
      <c r="B10" s="730" t="s">
        <v>78</v>
      </c>
      <c r="C10" s="732" t="s">
        <v>203</v>
      </c>
      <c r="D10" s="31" t="s">
        <v>256</v>
      </c>
      <c r="E10" s="32"/>
      <c r="F10" s="81">
        <f>IF(E10="Yes",10,0)</f>
        <v>0</v>
      </c>
      <c r="G10" s="750">
        <v>70</v>
      </c>
      <c r="H10" s="741"/>
      <c r="J10" s="749" t="s">
        <v>420</v>
      </c>
      <c r="L10" s="476"/>
      <c r="M10" s="530" t="s">
        <v>83</v>
      </c>
      <c r="N10" s="530" t="s">
        <v>72</v>
      </c>
      <c r="O10" s="530" t="s">
        <v>88</v>
      </c>
      <c r="X10" s="15"/>
    </row>
    <row r="11" spans="2:48" ht="40.5" customHeight="1" x14ac:dyDescent="0.25">
      <c r="B11" s="730"/>
      <c r="C11" s="733"/>
      <c r="D11" s="33" t="s">
        <v>116</v>
      </c>
      <c r="E11" s="34"/>
      <c r="F11" s="82">
        <f t="shared" ref="F11:F16" si="0">IF(E11="Yes",10,0)</f>
        <v>0</v>
      </c>
      <c r="G11" s="751"/>
      <c r="H11" s="742"/>
      <c r="J11" s="749"/>
      <c r="L11" s="476"/>
      <c r="M11" s="230"/>
      <c r="N11" s="230"/>
      <c r="O11" s="530"/>
      <c r="X11" s="15"/>
    </row>
    <row r="12" spans="2:48" ht="35.25" customHeight="1" x14ac:dyDescent="0.2">
      <c r="B12" s="730"/>
      <c r="C12" s="733"/>
      <c r="D12" s="33" t="s">
        <v>257</v>
      </c>
      <c r="E12" s="34"/>
      <c r="F12" s="82">
        <f>IF(E12="Yes",10,0)</f>
        <v>0</v>
      </c>
      <c r="G12" s="751"/>
      <c r="H12" s="742"/>
      <c r="J12" s="749"/>
      <c r="M12" s="230"/>
      <c r="N12" s="230"/>
      <c r="O12" s="230"/>
      <c r="X12" s="15"/>
    </row>
    <row r="13" spans="2:48" ht="35.25" customHeight="1" x14ac:dyDescent="0.2">
      <c r="B13" s="730"/>
      <c r="C13" s="733"/>
      <c r="D13" s="33" t="s">
        <v>89</v>
      </c>
      <c r="E13" s="34"/>
      <c r="F13" s="82">
        <f t="shared" si="0"/>
        <v>0</v>
      </c>
      <c r="G13" s="751"/>
      <c r="H13" s="742"/>
      <c r="J13" s="749"/>
      <c r="M13" s="230"/>
      <c r="N13" s="230"/>
      <c r="O13" s="230"/>
    </row>
    <row r="14" spans="2:48" ht="35.25" customHeight="1" x14ac:dyDescent="0.25">
      <c r="B14" s="730"/>
      <c r="C14" s="733"/>
      <c r="D14" s="33" t="s">
        <v>139</v>
      </c>
      <c r="E14" s="34"/>
      <c r="F14" s="83">
        <f t="shared" si="0"/>
        <v>0</v>
      </c>
      <c r="G14" s="751"/>
      <c r="H14" s="742"/>
      <c r="J14" s="749"/>
      <c r="M14" s="530" t="s">
        <v>2</v>
      </c>
      <c r="N14" s="530">
        <v>25</v>
      </c>
      <c r="O14" s="530" t="s">
        <v>2</v>
      </c>
    </row>
    <row r="15" spans="2:48" ht="35.25" customHeight="1" x14ac:dyDescent="0.25">
      <c r="B15" s="730"/>
      <c r="C15" s="733"/>
      <c r="D15" s="33" t="s">
        <v>261</v>
      </c>
      <c r="E15" s="34"/>
      <c r="F15" s="82">
        <f>IF(E15="Yes",10,0)</f>
        <v>0</v>
      </c>
      <c r="G15" s="751"/>
      <c r="H15" s="742"/>
      <c r="I15" s="147"/>
      <c r="J15" s="749"/>
      <c r="M15" s="530" t="s">
        <v>3</v>
      </c>
      <c r="N15" s="530">
        <v>40</v>
      </c>
      <c r="O15" s="530" t="s">
        <v>3</v>
      </c>
    </row>
    <row r="16" spans="2:48" ht="35.25" customHeight="1" thickBot="1" x14ac:dyDescent="0.3">
      <c r="B16" s="730"/>
      <c r="C16" s="760"/>
      <c r="D16" s="94" t="s">
        <v>260</v>
      </c>
      <c r="E16" s="153"/>
      <c r="F16" s="84">
        <f t="shared" si="0"/>
        <v>0</v>
      </c>
      <c r="G16" s="752"/>
      <c r="H16" s="743"/>
      <c r="I16" s="147"/>
      <c r="J16" s="749"/>
      <c r="M16" s="530" t="s">
        <v>4</v>
      </c>
      <c r="N16" s="530">
        <v>50</v>
      </c>
      <c r="O16" s="530" t="s">
        <v>4</v>
      </c>
    </row>
    <row r="17" spans="2:25" ht="39.75" customHeight="1" x14ac:dyDescent="0.25">
      <c r="B17" s="729" t="s">
        <v>79</v>
      </c>
      <c r="C17" s="146" t="s">
        <v>180</v>
      </c>
      <c r="D17" s="758"/>
      <c r="E17" s="759"/>
      <c r="F17" s="85">
        <f>IFERROR(VLOOKUP(D17,$M$14:$N$17, 2, 0), 0)</f>
        <v>0</v>
      </c>
      <c r="G17" s="86">
        <v>50</v>
      </c>
      <c r="H17" s="87"/>
      <c r="J17" s="164" t="s">
        <v>184</v>
      </c>
      <c r="M17" s="530" t="s">
        <v>82</v>
      </c>
      <c r="N17" s="530" t="s">
        <v>72</v>
      </c>
      <c r="O17" s="530" t="s">
        <v>82</v>
      </c>
    </row>
    <row r="18" spans="2:25" ht="35.25" customHeight="1" thickBot="1" x14ac:dyDescent="0.25">
      <c r="B18" s="734"/>
      <c r="C18" s="736" t="s">
        <v>155</v>
      </c>
      <c r="D18" s="737"/>
      <c r="E18" s="177">
        <f>'% Habitat Score'!J41</f>
        <v>0</v>
      </c>
      <c r="F18" s="88"/>
      <c r="G18" s="89"/>
      <c r="H18" s="87"/>
      <c r="J18" s="24"/>
    </row>
    <row r="19" spans="2:25" ht="35.25" customHeight="1" x14ac:dyDescent="0.25">
      <c r="B19" s="115" t="s">
        <v>80</v>
      </c>
      <c r="C19" s="732" t="s">
        <v>202</v>
      </c>
      <c r="D19" s="31" t="s">
        <v>115</v>
      </c>
      <c r="E19" s="32"/>
      <c r="F19" s="81">
        <f t="shared" ref="F19:F25" si="1">IF(E19="Yes",10,0)</f>
        <v>0</v>
      </c>
      <c r="G19" s="761">
        <v>60</v>
      </c>
      <c r="H19" s="118"/>
      <c r="J19" s="738" t="s">
        <v>419</v>
      </c>
      <c r="Y19" s="531"/>
    </row>
    <row r="20" spans="2:25" ht="35.25" customHeight="1" x14ac:dyDescent="0.25">
      <c r="B20" s="116"/>
      <c r="C20" s="733"/>
      <c r="D20" s="33" t="s">
        <v>117</v>
      </c>
      <c r="E20" s="34"/>
      <c r="F20" s="82">
        <f t="shared" si="1"/>
        <v>0</v>
      </c>
      <c r="G20" s="762"/>
      <c r="H20" s="87"/>
      <c r="J20" s="739"/>
      <c r="Y20" s="532"/>
    </row>
    <row r="21" spans="2:25" ht="35.25" customHeight="1" x14ac:dyDescent="0.25">
      <c r="B21" s="116"/>
      <c r="C21" s="733"/>
      <c r="D21" s="33" t="s">
        <v>90</v>
      </c>
      <c r="E21" s="34"/>
      <c r="F21" s="82">
        <f t="shared" si="1"/>
        <v>0</v>
      </c>
      <c r="G21" s="762"/>
      <c r="H21" s="87"/>
      <c r="J21" s="739"/>
      <c r="T21" s="532"/>
      <c r="U21" s="532"/>
      <c r="Y21" s="532"/>
    </row>
    <row r="22" spans="2:25" ht="35.25" customHeight="1" x14ac:dyDescent="0.25">
      <c r="B22" s="116"/>
      <c r="C22" s="733"/>
      <c r="D22" s="33" t="s">
        <v>245</v>
      </c>
      <c r="E22" s="34"/>
      <c r="F22" s="82">
        <f t="shared" si="1"/>
        <v>0</v>
      </c>
      <c r="G22" s="762"/>
      <c r="H22" s="87"/>
      <c r="J22" s="739"/>
      <c r="T22" s="532"/>
      <c r="U22" s="532"/>
      <c r="Y22" s="532"/>
    </row>
    <row r="23" spans="2:25" ht="35.25" customHeight="1" x14ac:dyDescent="0.25">
      <c r="B23" s="116"/>
      <c r="C23" s="733"/>
      <c r="D23" s="37" t="s">
        <v>91</v>
      </c>
      <c r="E23" s="34"/>
      <c r="F23" s="82">
        <f t="shared" si="1"/>
        <v>0</v>
      </c>
      <c r="G23" s="762"/>
      <c r="H23" s="87"/>
      <c r="J23" s="739"/>
      <c r="T23" s="532"/>
      <c r="U23" s="532"/>
    </row>
    <row r="24" spans="2:25" ht="35.25" customHeight="1" x14ac:dyDescent="0.25">
      <c r="B24" s="116"/>
      <c r="C24" s="733"/>
      <c r="D24" s="178" t="s">
        <v>204</v>
      </c>
      <c r="E24" s="34"/>
      <c r="F24" s="82">
        <f t="shared" si="1"/>
        <v>0</v>
      </c>
      <c r="G24" s="763"/>
      <c r="H24" s="87"/>
      <c r="J24" s="739"/>
      <c r="T24" s="532"/>
      <c r="U24" s="532"/>
    </row>
    <row r="25" spans="2:25" ht="53.25" customHeight="1" thickBot="1" x14ac:dyDescent="0.3">
      <c r="B25" s="117"/>
      <c r="C25" s="168" t="s">
        <v>171</v>
      </c>
      <c r="D25" s="38"/>
      <c r="E25" s="42"/>
      <c r="F25" s="84">
        <f t="shared" si="1"/>
        <v>0</v>
      </c>
      <c r="G25" s="105"/>
      <c r="H25" s="119"/>
      <c r="J25" s="740"/>
      <c r="T25" s="532"/>
      <c r="U25" s="532"/>
    </row>
    <row r="26" spans="2:25" ht="33" customHeight="1" x14ac:dyDescent="0.25">
      <c r="B26" s="729" t="s">
        <v>81</v>
      </c>
      <c r="C26" s="735" t="s">
        <v>282</v>
      </c>
      <c r="D26" s="39" t="s">
        <v>5</v>
      </c>
      <c r="E26" s="40"/>
      <c r="F26" s="81">
        <f>IF(E26="Yes",20,0)</f>
        <v>0</v>
      </c>
      <c r="G26" s="753">
        <v>100</v>
      </c>
      <c r="H26" s="755"/>
      <c r="J26" s="749" t="s">
        <v>421</v>
      </c>
      <c r="T26" s="532"/>
      <c r="U26" s="532"/>
    </row>
    <row r="27" spans="2:25" ht="33" customHeight="1" x14ac:dyDescent="0.2">
      <c r="B27" s="730"/>
      <c r="C27" s="733"/>
      <c r="D27" s="41" t="s">
        <v>280</v>
      </c>
      <c r="E27" s="34"/>
      <c r="F27" s="82">
        <f>IF(E27="Yes",10,0)</f>
        <v>0</v>
      </c>
      <c r="G27" s="754"/>
      <c r="H27" s="756"/>
      <c r="J27" s="749"/>
    </row>
    <row r="28" spans="2:25" ht="33" customHeight="1" x14ac:dyDescent="0.2">
      <c r="B28" s="730"/>
      <c r="C28" s="733"/>
      <c r="D28" s="41" t="s">
        <v>182</v>
      </c>
      <c r="E28" s="34"/>
      <c r="F28" s="82">
        <f>IF(E28="Yes",40,0)</f>
        <v>0</v>
      </c>
      <c r="G28" s="754"/>
      <c r="H28" s="756"/>
      <c r="J28" s="749"/>
    </row>
    <row r="29" spans="2:25" ht="33" customHeight="1" x14ac:dyDescent="0.2">
      <c r="B29" s="730"/>
      <c r="C29" s="733"/>
      <c r="D29" s="20" t="s">
        <v>160</v>
      </c>
      <c r="E29" s="34"/>
      <c r="F29" s="83">
        <f>IF(E29="Yes",10,0)</f>
        <v>0</v>
      </c>
      <c r="G29" s="754"/>
      <c r="H29" s="756"/>
      <c r="J29" s="749"/>
    </row>
    <row r="30" spans="2:25" ht="33" customHeight="1" x14ac:dyDescent="0.2">
      <c r="B30" s="730"/>
      <c r="C30" s="733"/>
      <c r="D30" s="41" t="s">
        <v>75</v>
      </c>
      <c r="E30" s="34"/>
      <c r="F30" s="82">
        <f>IF(E30="Yes",20,0)</f>
        <v>0</v>
      </c>
      <c r="G30" s="754"/>
      <c r="H30" s="756"/>
      <c r="J30" s="749"/>
    </row>
    <row r="31" spans="2:25" ht="33" customHeight="1" thickBot="1" x14ac:dyDescent="0.25">
      <c r="B31" s="731"/>
      <c r="C31" s="168"/>
      <c r="D31" s="179" t="s">
        <v>283</v>
      </c>
      <c r="E31" s="42"/>
      <c r="F31" s="84">
        <f>IF(E31="Yes",20,0)</f>
        <v>0</v>
      </c>
      <c r="G31" s="120"/>
      <c r="H31" s="757"/>
      <c r="J31" s="749"/>
    </row>
    <row r="32" spans="2:25" ht="24.75" customHeight="1" x14ac:dyDescent="0.2">
      <c r="E32" s="43" t="s">
        <v>45</v>
      </c>
      <c r="F32" s="148">
        <f>MIN(G32,(SUM(F6:F31)))</f>
        <v>0</v>
      </c>
      <c r="G32" s="90">
        <f>SUM(G4:G31)</f>
        <v>380</v>
      </c>
      <c r="I32" s="180"/>
    </row>
    <row r="33" spans="3:22" ht="22.5" hidden="1" customHeight="1" x14ac:dyDescent="0.2">
      <c r="E33" s="43" t="s">
        <v>46</v>
      </c>
      <c r="F33" s="91">
        <f>F32/G32*100</f>
        <v>0</v>
      </c>
      <c r="G33" s="92"/>
    </row>
    <row r="34" spans="3:22" hidden="1" x14ac:dyDescent="0.2">
      <c r="E34" s="27"/>
    </row>
    <row r="35" spans="3:22" ht="15.75" hidden="1" x14ac:dyDescent="0.2">
      <c r="E35" s="27"/>
      <c r="T35" s="476"/>
      <c r="U35" s="476"/>
      <c r="V35" s="533"/>
    </row>
    <row r="36" spans="3:22" ht="15.75" hidden="1" x14ac:dyDescent="0.2">
      <c r="E36" s="27"/>
      <c r="T36" s="476"/>
      <c r="U36" s="476"/>
      <c r="V36" s="533"/>
    </row>
    <row r="37" spans="3:22" ht="18.75" hidden="1" customHeight="1" x14ac:dyDescent="0.2">
      <c r="E37" s="27"/>
      <c r="H37" s="25"/>
      <c r="I37" s="17"/>
      <c r="K37" s="17"/>
      <c r="L37" s="476"/>
      <c r="M37" s="476"/>
      <c r="N37" s="476"/>
      <c r="O37" s="476"/>
      <c r="P37" s="476"/>
      <c r="Q37" s="476"/>
      <c r="R37" s="476"/>
      <c r="S37" s="476"/>
      <c r="T37" s="476"/>
      <c r="U37" s="476"/>
      <c r="V37" s="533"/>
    </row>
    <row r="38" spans="3:22" ht="15.75" hidden="1" customHeight="1" x14ac:dyDescent="0.2">
      <c r="E38" s="27"/>
      <c r="H38" s="25"/>
      <c r="I38" s="17"/>
      <c r="J38" s="25"/>
      <c r="K38" s="17"/>
      <c r="L38" s="476"/>
      <c r="M38" s="476"/>
      <c r="N38" s="476"/>
      <c r="O38" s="476"/>
      <c r="P38" s="476"/>
      <c r="Q38" s="476"/>
      <c r="R38" s="476"/>
      <c r="S38" s="476"/>
      <c r="T38" s="476"/>
      <c r="U38" s="476"/>
      <c r="V38" s="533"/>
    </row>
    <row r="39" spans="3:22" ht="15.75" hidden="1" customHeight="1" x14ac:dyDescent="0.2">
      <c r="E39" s="27"/>
      <c r="H39" s="25"/>
      <c r="I39" s="17"/>
      <c r="J39" s="25"/>
      <c r="K39" s="17"/>
      <c r="L39" s="476"/>
      <c r="M39" s="476"/>
      <c r="N39" s="476"/>
      <c r="O39" s="476"/>
      <c r="P39" s="476"/>
      <c r="Q39" s="476"/>
      <c r="R39" s="476"/>
      <c r="S39" s="476"/>
      <c r="T39" s="476"/>
      <c r="U39" s="476"/>
      <c r="V39" s="533"/>
    </row>
    <row r="40" spans="3:22" ht="15" hidden="1" customHeight="1" x14ac:dyDescent="0.2">
      <c r="E40" s="27"/>
      <c r="H40" s="25"/>
      <c r="I40" s="17"/>
      <c r="J40" s="25"/>
      <c r="K40" s="17"/>
      <c r="L40" s="476"/>
      <c r="M40" s="476"/>
      <c r="N40" s="476"/>
      <c r="O40" s="476"/>
      <c r="P40" s="476"/>
      <c r="Q40" s="476"/>
      <c r="R40" s="476"/>
      <c r="S40" s="476"/>
      <c r="T40" s="476"/>
      <c r="U40" s="476"/>
      <c r="V40" s="533"/>
    </row>
    <row r="41" spans="3:22" ht="15" hidden="1" customHeight="1" x14ac:dyDescent="0.2">
      <c r="E41" s="27"/>
      <c r="H41" s="25"/>
      <c r="I41" s="17"/>
      <c r="J41" s="25"/>
      <c r="K41" s="17"/>
      <c r="L41" s="476"/>
      <c r="M41" s="476"/>
      <c r="N41" s="476"/>
      <c r="O41" s="476"/>
      <c r="P41" s="476"/>
      <c r="Q41" s="476"/>
      <c r="R41" s="476"/>
      <c r="S41" s="476"/>
      <c r="T41" s="476"/>
      <c r="U41" s="476"/>
    </row>
    <row r="42" spans="3:22" ht="15" hidden="1" customHeight="1" x14ac:dyDescent="0.2">
      <c r="E42" s="27"/>
      <c r="H42" s="25"/>
      <c r="I42" s="17"/>
      <c r="J42" s="25"/>
      <c r="K42" s="17"/>
      <c r="L42" s="476"/>
      <c r="M42" s="476"/>
      <c r="N42" s="476"/>
      <c r="O42" s="476"/>
      <c r="P42" s="476"/>
      <c r="Q42" s="476"/>
      <c r="R42" s="476"/>
      <c r="S42" s="476"/>
    </row>
    <row r="43" spans="3:22" hidden="1" x14ac:dyDescent="0.2">
      <c r="E43" s="27"/>
      <c r="H43" s="25"/>
      <c r="I43" s="17"/>
      <c r="J43" s="25"/>
      <c r="K43" s="17"/>
      <c r="L43" s="476"/>
      <c r="M43" s="476"/>
      <c r="N43" s="476"/>
      <c r="O43" s="476"/>
      <c r="P43" s="476"/>
      <c r="Q43" s="476"/>
      <c r="R43" s="476"/>
      <c r="S43" s="476"/>
    </row>
    <row r="44" spans="3:22" ht="34.5" hidden="1" customHeight="1" x14ac:dyDescent="0.2">
      <c r="C44" s="23"/>
      <c r="E44" s="27"/>
      <c r="J44" s="25"/>
    </row>
    <row r="45" spans="3:22" hidden="1" x14ac:dyDescent="0.2">
      <c r="C45" s="23"/>
      <c r="E45" s="27"/>
    </row>
    <row r="46" spans="3:22" hidden="1" x14ac:dyDescent="0.2">
      <c r="C46" s="23"/>
      <c r="E46" s="27"/>
    </row>
    <row r="47" spans="3:22" hidden="1" x14ac:dyDescent="0.2">
      <c r="C47" s="23"/>
      <c r="E47" s="27"/>
    </row>
    <row r="48" spans="3:22" hidden="1" x14ac:dyDescent="0.2">
      <c r="E48" s="27"/>
    </row>
    <row r="49" spans="4:5" hidden="1" x14ac:dyDescent="0.2">
      <c r="E49" s="27"/>
    </row>
    <row r="50" spans="4:5" hidden="1" x14ac:dyDescent="0.2">
      <c r="E50" s="27"/>
    </row>
    <row r="51" spans="4:5" hidden="1" x14ac:dyDescent="0.2">
      <c r="E51" s="27"/>
    </row>
    <row r="52" spans="4:5" hidden="1" x14ac:dyDescent="0.2">
      <c r="E52" s="27"/>
    </row>
    <row r="53" spans="4:5" hidden="1" x14ac:dyDescent="0.2">
      <c r="E53" s="27"/>
    </row>
    <row r="54" spans="4:5" hidden="1" x14ac:dyDescent="0.2">
      <c r="E54" s="27"/>
    </row>
    <row r="55" spans="4:5" hidden="1" x14ac:dyDescent="0.2">
      <c r="D55" s="44"/>
      <c r="E55" s="27"/>
    </row>
    <row r="56" spans="4:5" hidden="1" x14ac:dyDescent="0.2">
      <c r="D56" s="44"/>
      <c r="E56" s="27"/>
    </row>
    <row r="57" spans="4:5" hidden="1" x14ac:dyDescent="0.2">
      <c r="D57" s="45"/>
      <c r="E57" s="27"/>
    </row>
    <row r="58" spans="4:5" hidden="1" x14ac:dyDescent="0.2">
      <c r="D58" s="45"/>
      <c r="E58" s="27"/>
    </row>
    <row r="59" spans="4:5" hidden="1" x14ac:dyDescent="0.2">
      <c r="E59" s="27"/>
    </row>
    <row r="60" spans="4:5" hidden="1" x14ac:dyDescent="0.2">
      <c r="E60" s="27"/>
    </row>
    <row r="61" spans="4:5" hidden="1" x14ac:dyDescent="0.2">
      <c r="E61" s="27"/>
    </row>
    <row r="62" spans="4:5" hidden="1" x14ac:dyDescent="0.2">
      <c r="E62" s="27"/>
    </row>
    <row r="63" spans="4:5" hidden="1" x14ac:dyDescent="0.2">
      <c r="E63" s="27"/>
    </row>
    <row r="64" spans="4:5" hidden="1" x14ac:dyDescent="0.2">
      <c r="E64" s="27"/>
    </row>
    <row r="65" spans="5:5" hidden="1" x14ac:dyDescent="0.2">
      <c r="E65" s="27"/>
    </row>
    <row r="66" spans="5:5" hidden="1" x14ac:dyDescent="0.2">
      <c r="E66" s="27"/>
    </row>
    <row r="67" spans="5:5" hidden="1" x14ac:dyDescent="0.2">
      <c r="E67" s="27"/>
    </row>
    <row r="68" spans="5:5" hidden="1" x14ac:dyDescent="0.2">
      <c r="E68" s="27"/>
    </row>
    <row r="69" spans="5:5" hidden="1" x14ac:dyDescent="0.2">
      <c r="E69" s="27"/>
    </row>
    <row r="70" spans="5:5" hidden="1" x14ac:dyDescent="0.2">
      <c r="E70" s="27"/>
    </row>
    <row r="71" spans="5:5" hidden="1" x14ac:dyDescent="0.2">
      <c r="E71" s="27"/>
    </row>
    <row r="72" spans="5:5" hidden="1" x14ac:dyDescent="0.2">
      <c r="E72" s="27"/>
    </row>
    <row r="73" spans="5:5" hidden="1" x14ac:dyDescent="0.2">
      <c r="E73" s="27"/>
    </row>
    <row r="74" spans="5:5" hidden="1" x14ac:dyDescent="0.2">
      <c r="E74" s="27"/>
    </row>
    <row r="75" spans="5:5" hidden="1" x14ac:dyDescent="0.2">
      <c r="E75" s="27"/>
    </row>
    <row r="76" spans="5:5" hidden="1" x14ac:dyDescent="0.2">
      <c r="E76" s="27"/>
    </row>
    <row r="77" spans="5:5" hidden="1" x14ac:dyDescent="0.2">
      <c r="E77" s="27"/>
    </row>
    <row r="78" spans="5:5" hidden="1" x14ac:dyDescent="0.2">
      <c r="E78" s="27"/>
    </row>
    <row r="79" spans="5:5" hidden="1" x14ac:dyDescent="0.2">
      <c r="E79" s="27"/>
    </row>
    <row r="80" spans="5:5" hidden="1" x14ac:dyDescent="0.2">
      <c r="E80" s="27"/>
    </row>
    <row r="81" spans="5:5" hidden="1" x14ac:dyDescent="0.2">
      <c r="E81" s="27"/>
    </row>
    <row r="82" spans="5:5" hidden="1" x14ac:dyDescent="0.2">
      <c r="E82" s="27"/>
    </row>
    <row r="83" spans="5:5" hidden="1" x14ac:dyDescent="0.2">
      <c r="E83" s="27"/>
    </row>
    <row r="84" spans="5:5" hidden="1" x14ac:dyDescent="0.2">
      <c r="E84" s="27"/>
    </row>
    <row r="85" spans="5:5" hidden="1" x14ac:dyDescent="0.2">
      <c r="E85" s="27"/>
    </row>
    <row r="86" spans="5:5" hidden="1" x14ac:dyDescent="0.2">
      <c r="E86" s="27"/>
    </row>
    <row r="87" spans="5:5" hidden="1" x14ac:dyDescent="0.2">
      <c r="E87" s="27"/>
    </row>
    <row r="88" spans="5:5" hidden="1" x14ac:dyDescent="0.2">
      <c r="E88" s="27"/>
    </row>
    <row r="89" spans="5:5" hidden="1" x14ac:dyDescent="0.2">
      <c r="E89" s="27"/>
    </row>
    <row r="90" spans="5:5" hidden="1" x14ac:dyDescent="0.2">
      <c r="E90" s="27"/>
    </row>
    <row r="91" spans="5:5" hidden="1" x14ac:dyDescent="0.2">
      <c r="E91" s="27"/>
    </row>
    <row r="92" spans="5:5" hidden="1" x14ac:dyDescent="0.2">
      <c r="E92" s="27"/>
    </row>
    <row r="93" spans="5:5" hidden="1" x14ac:dyDescent="0.2">
      <c r="E93" s="27"/>
    </row>
    <row r="94" spans="5:5" hidden="1" x14ac:dyDescent="0.2">
      <c r="E94" s="27"/>
    </row>
    <row r="95" spans="5:5" hidden="1" x14ac:dyDescent="0.2">
      <c r="E95" s="27"/>
    </row>
    <row r="96" spans="5:5" hidden="1" x14ac:dyDescent="0.2">
      <c r="E96" s="27"/>
    </row>
    <row r="97" spans="5:5" hidden="1" x14ac:dyDescent="0.2">
      <c r="E97" s="27"/>
    </row>
    <row r="98" spans="5:5" hidden="1" x14ac:dyDescent="0.2">
      <c r="E98" s="27"/>
    </row>
    <row r="99" spans="5:5" hidden="1" x14ac:dyDescent="0.2">
      <c r="E99" s="27"/>
    </row>
    <row r="100" spans="5:5" hidden="1" x14ac:dyDescent="0.2">
      <c r="E100" s="27"/>
    </row>
    <row r="101" spans="5:5" hidden="1" x14ac:dyDescent="0.2">
      <c r="E101" s="27"/>
    </row>
    <row r="102" spans="5:5" hidden="1" x14ac:dyDescent="0.2">
      <c r="E102" s="27"/>
    </row>
    <row r="103" spans="5:5" hidden="1" x14ac:dyDescent="0.2">
      <c r="E103" s="27"/>
    </row>
    <row r="104" spans="5:5" hidden="1" x14ac:dyDescent="0.2">
      <c r="E104" s="27"/>
    </row>
    <row r="105" spans="5:5" hidden="1" x14ac:dyDescent="0.2">
      <c r="E105" s="27"/>
    </row>
    <row r="106" spans="5:5" hidden="1" x14ac:dyDescent="0.2">
      <c r="E106" s="27"/>
    </row>
    <row r="107" spans="5:5" hidden="1" x14ac:dyDescent="0.2">
      <c r="E107" s="27"/>
    </row>
    <row r="108" spans="5:5" hidden="1" x14ac:dyDescent="0.2">
      <c r="E108" s="27"/>
    </row>
    <row r="109" spans="5:5" hidden="1" x14ac:dyDescent="0.2">
      <c r="E109" s="27"/>
    </row>
    <row r="110" spans="5:5" hidden="1" x14ac:dyDescent="0.2">
      <c r="E110" s="27"/>
    </row>
    <row r="111" spans="5:5" hidden="1" x14ac:dyDescent="0.2">
      <c r="E111" s="27"/>
    </row>
    <row r="112" spans="5:5" hidden="1" x14ac:dyDescent="0.2">
      <c r="E112" s="27"/>
    </row>
    <row r="113" spans="5:5" hidden="1" x14ac:dyDescent="0.2">
      <c r="E113" s="27"/>
    </row>
    <row r="114" spans="5:5" hidden="1" x14ac:dyDescent="0.2">
      <c r="E114" s="27"/>
    </row>
    <row r="115" spans="5:5" hidden="1" x14ac:dyDescent="0.2">
      <c r="E115" s="27"/>
    </row>
    <row r="116" spans="5:5" hidden="1" x14ac:dyDescent="0.2">
      <c r="E116" s="27"/>
    </row>
    <row r="117" spans="5:5" hidden="1" x14ac:dyDescent="0.2">
      <c r="E117" s="27"/>
    </row>
    <row r="118" spans="5:5" hidden="1" x14ac:dyDescent="0.2">
      <c r="E118" s="27"/>
    </row>
    <row r="119" spans="5:5" hidden="1" x14ac:dyDescent="0.2">
      <c r="E119" s="27"/>
    </row>
    <row r="120" spans="5:5" hidden="1" x14ac:dyDescent="0.2">
      <c r="E120" s="27"/>
    </row>
    <row r="121" spans="5:5" hidden="1" x14ac:dyDescent="0.2">
      <c r="E121" s="27"/>
    </row>
    <row r="122" spans="5:5" hidden="1" x14ac:dyDescent="0.2">
      <c r="E122" s="27"/>
    </row>
    <row r="123" spans="5:5" hidden="1" x14ac:dyDescent="0.2">
      <c r="E123" s="27"/>
    </row>
    <row r="124" spans="5:5" hidden="1" x14ac:dyDescent="0.2">
      <c r="E124" s="27"/>
    </row>
    <row r="125" spans="5:5" hidden="1" x14ac:dyDescent="0.2">
      <c r="E125" s="27"/>
    </row>
    <row r="126" spans="5:5" hidden="1" x14ac:dyDescent="0.2">
      <c r="E126" s="27"/>
    </row>
    <row r="127" spans="5:5" hidden="1" x14ac:dyDescent="0.2">
      <c r="E127" s="27"/>
    </row>
    <row r="128" spans="5:5" hidden="1" x14ac:dyDescent="0.2">
      <c r="E128" s="27"/>
    </row>
    <row r="129" spans="5:5" hidden="1" x14ac:dyDescent="0.2">
      <c r="E129" s="27"/>
    </row>
    <row r="130" spans="5:5" hidden="1" x14ac:dyDescent="0.2">
      <c r="E130" s="27"/>
    </row>
    <row r="131" spans="5:5" hidden="1" x14ac:dyDescent="0.2">
      <c r="E131" s="27"/>
    </row>
    <row r="132" spans="5:5" hidden="1" x14ac:dyDescent="0.2">
      <c r="E132" s="27"/>
    </row>
    <row r="133" spans="5:5" hidden="1" x14ac:dyDescent="0.2">
      <c r="E133" s="27"/>
    </row>
    <row r="134" spans="5:5" hidden="1" x14ac:dyDescent="0.2">
      <c r="E134" s="27"/>
    </row>
    <row r="135" spans="5:5" hidden="1" x14ac:dyDescent="0.2">
      <c r="E135" s="27"/>
    </row>
    <row r="136" spans="5:5" hidden="1" x14ac:dyDescent="0.2">
      <c r="E136" s="27"/>
    </row>
    <row r="137" spans="5:5" hidden="1" x14ac:dyDescent="0.2">
      <c r="E137" s="27"/>
    </row>
    <row r="138" spans="5:5" hidden="1" x14ac:dyDescent="0.2">
      <c r="E138" s="27"/>
    </row>
    <row r="139" spans="5:5" hidden="1" x14ac:dyDescent="0.2">
      <c r="E139" s="27"/>
    </row>
    <row r="140" spans="5:5" hidden="1" x14ac:dyDescent="0.2">
      <c r="E140" s="27"/>
    </row>
    <row r="141" spans="5:5" hidden="1" x14ac:dyDescent="0.2">
      <c r="E141" s="27"/>
    </row>
    <row r="142" spans="5:5" hidden="1" x14ac:dyDescent="0.2">
      <c r="E142" s="27"/>
    </row>
    <row r="143" spans="5:5" hidden="1" x14ac:dyDescent="0.2">
      <c r="E143" s="27"/>
    </row>
    <row r="144" spans="5:5" hidden="1" x14ac:dyDescent="0.2">
      <c r="E144" s="27"/>
    </row>
    <row r="145" spans="5:5" hidden="1" x14ac:dyDescent="0.2">
      <c r="E145" s="27"/>
    </row>
    <row r="146" spans="5:5" hidden="1" x14ac:dyDescent="0.2">
      <c r="E146" s="27"/>
    </row>
    <row r="147" spans="5:5" hidden="1" x14ac:dyDescent="0.2">
      <c r="E147" s="27"/>
    </row>
    <row r="148" spans="5:5" hidden="1" x14ac:dyDescent="0.2">
      <c r="E148" s="27"/>
    </row>
    <row r="149" spans="5:5" hidden="1" x14ac:dyDescent="0.2">
      <c r="E149" s="27"/>
    </row>
    <row r="150" spans="5:5" hidden="1" x14ac:dyDescent="0.2">
      <c r="E150" s="27"/>
    </row>
    <row r="151" spans="5:5" hidden="1" x14ac:dyDescent="0.2">
      <c r="E151" s="27"/>
    </row>
    <row r="152" spans="5:5" hidden="1" x14ac:dyDescent="0.2">
      <c r="E152" s="27"/>
    </row>
    <row r="153" spans="5:5" hidden="1" x14ac:dyDescent="0.2">
      <c r="E153" s="27"/>
    </row>
    <row r="154" spans="5:5" hidden="1" x14ac:dyDescent="0.2">
      <c r="E154" s="27"/>
    </row>
    <row r="155" spans="5:5" hidden="1" x14ac:dyDescent="0.2">
      <c r="E155" s="27"/>
    </row>
    <row r="156" spans="5:5" hidden="1" x14ac:dyDescent="0.2">
      <c r="E156" s="27"/>
    </row>
    <row r="157" spans="5:5" hidden="1" x14ac:dyDescent="0.2">
      <c r="E157" s="27"/>
    </row>
    <row r="158" spans="5:5" hidden="1" x14ac:dyDescent="0.2">
      <c r="E158" s="27"/>
    </row>
    <row r="159" spans="5:5" hidden="1" x14ac:dyDescent="0.2">
      <c r="E159" s="27"/>
    </row>
    <row r="160" spans="5:5" hidden="1" x14ac:dyDescent="0.2">
      <c r="E160" s="27"/>
    </row>
    <row r="161" spans="5:5" hidden="1" x14ac:dyDescent="0.2">
      <c r="E161" s="27"/>
    </row>
    <row r="162" spans="5:5" hidden="1" x14ac:dyDescent="0.2">
      <c r="E162" s="27"/>
    </row>
    <row r="163" spans="5:5" hidden="1" x14ac:dyDescent="0.2">
      <c r="E163" s="27"/>
    </row>
    <row r="164" spans="5:5" hidden="1" x14ac:dyDescent="0.2">
      <c r="E164" s="27"/>
    </row>
    <row r="165" spans="5:5" hidden="1" x14ac:dyDescent="0.2">
      <c r="E165" s="27"/>
    </row>
    <row r="166" spans="5:5" hidden="1" x14ac:dyDescent="0.2">
      <c r="E166" s="27"/>
    </row>
    <row r="167" spans="5:5" hidden="1" x14ac:dyDescent="0.2">
      <c r="E167" s="27"/>
    </row>
    <row r="168" spans="5:5" hidden="1" x14ac:dyDescent="0.2">
      <c r="E168" s="27"/>
    </row>
    <row r="169" spans="5:5" hidden="1" x14ac:dyDescent="0.2">
      <c r="E169" s="27"/>
    </row>
    <row r="170" spans="5:5" hidden="1" x14ac:dyDescent="0.2">
      <c r="E170" s="27"/>
    </row>
    <row r="171" spans="5:5" hidden="1" x14ac:dyDescent="0.2">
      <c r="E171" s="27"/>
    </row>
    <row r="172" spans="5:5" hidden="1" x14ac:dyDescent="0.2">
      <c r="E172" s="27"/>
    </row>
    <row r="173" spans="5:5" hidden="1" x14ac:dyDescent="0.2">
      <c r="E173" s="27"/>
    </row>
    <row r="174" spans="5:5" hidden="1" x14ac:dyDescent="0.2">
      <c r="E174" s="27"/>
    </row>
    <row r="175" spans="5:5" hidden="1" x14ac:dyDescent="0.2">
      <c r="E175" s="27"/>
    </row>
    <row r="176" spans="5:5" hidden="1" x14ac:dyDescent="0.2">
      <c r="E176" s="27"/>
    </row>
    <row r="177" spans="5:5" hidden="1" x14ac:dyDescent="0.2">
      <c r="E177" s="27"/>
    </row>
    <row r="178" spans="5:5" hidden="1" x14ac:dyDescent="0.2">
      <c r="E178" s="27"/>
    </row>
    <row r="179" spans="5:5" hidden="1" x14ac:dyDescent="0.2">
      <c r="E179" s="27"/>
    </row>
    <row r="180" spans="5:5" hidden="1" x14ac:dyDescent="0.2">
      <c r="E180" s="27"/>
    </row>
    <row r="181" spans="5:5" hidden="1" x14ac:dyDescent="0.2">
      <c r="E181" s="27"/>
    </row>
    <row r="182" spans="5:5" hidden="1" x14ac:dyDescent="0.2">
      <c r="E182" s="27"/>
    </row>
    <row r="183" spans="5:5" hidden="1" x14ac:dyDescent="0.2">
      <c r="E183" s="27"/>
    </row>
    <row r="184" spans="5:5" hidden="1" x14ac:dyDescent="0.2">
      <c r="E184" s="27"/>
    </row>
    <row r="185" spans="5:5" hidden="1" x14ac:dyDescent="0.2">
      <c r="E185" s="27"/>
    </row>
    <row r="186" spans="5:5" hidden="1" x14ac:dyDescent="0.2">
      <c r="E186" s="27"/>
    </row>
    <row r="187" spans="5:5" hidden="1" x14ac:dyDescent="0.2">
      <c r="E187" s="27"/>
    </row>
    <row r="188" spans="5:5" hidden="1" x14ac:dyDescent="0.2">
      <c r="E188" s="27"/>
    </row>
    <row r="189" spans="5:5" hidden="1" x14ac:dyDescent="0.2">
      <c r="E189" s="27"/>
    </row>
    <row r="190" spans="5:5" hidden="1" x14ac:dyDescent="0.2">
      <c r="E190" s="27"/>
    </row>
    <row r="191" spans="5:5" hidden="1" x14ac:dyDescent="0.2">
      <c r="E191" s="27"/>
    </row>
    <row r="192" spans="5:5" hidden="1" x14ac:dyDescent="0.2">
      <c r="E192" s="27"/>
    </row>
    <row r="193" spans="5:5" hidden="1" x14ac:dyDescent="0.2">
      <c r="E193" s="27"/>
    </row>
    <row r="194" spans="5:5" hidden="1" x14ac:dyDescent="0.2">
      <c r="E194" s="27"/>
    </row>
    <row r="195" spans="5:5" hidden="1" x14ac:dyDescent="0.2">
      <c r="E195" s="27"/>
    </row>
    <row r="196" spans="5:5" hidden="1" x14ac:dyDescent="0.2">
      <c r="E196" s="27"/>
    </row>
    <row r="197" spans="5:5" hidden="1" x14ac:dyDescent="0.2">
      <c r="E197" s="27"/>
    </row>
    <row r="198" spans="5:5" hidden="1" x14ac:dyDescent="0.2">
      <c r="E198" s="27"/>
    </row>
    <row r="199" spans="5:5" hidden="1" x14ac:dyDescent="0.2">
      <c r="E199" s="27"/>
    </row>
    <row r="200" spans="5:5" hidden="1" x14ac:dyDescent="0.2">
      <c r="E200" s="27"/>
    </row>
    <row r="201" spans="5:5" hidden="1" x14ac:dyDescent="0.2">
      <c r="E201" s="27"/>
    </row>
    <row r="202" spans="5:5" hidden="1" x14ac:dyDescent="0.2">
      <c r="E202" s="27"/>
    </row>
    <row r="203" spans="5:5" hidden="1" x14ac:dyDescent="0.2">
      <c r="E203" s="27"/>
    </row>
    <row r="204" spans="5:5" hidden="1" x14ac:dyDescent="0.2">
      <c r="E204" s="27"/>
    </row>
    <row r="205" spans="5:5" hidden="1" x14ac:dyDescent="0.2">
      <c r="E205" s="27"/>
    </row>
    <row r="206" spans="5:5" hidden="1" x14ac:dyDescent="0.2">
      <c r="E206" s="27"/>
    </row>
    <row r="207" spans="5:5" hidden="1" x14ac:dyDescent="0.2">
      <c r="E207" s="27"/>
    </row>
    <row r="208" spans="5:5" hidden="1" x14ac:dyDescent="0.2">
      <c r="E208" s="27"/>
    </row>
    <row r="209" spans="5:5" hidden="1" x14ac:dyDescent="0.2">
      <c r="E209" s="27"/>
    </row>
    <row r="210" spans="5:5" hidden="1" x14ac:dyDescent="0.2">
      <c r="E210" s="27"/>
    </row>
    <row r="211" spans="5:5" hidden="1" x14ac:dyDescent="0.2">
      <c r="E211" s="27"/>
    </row>
    <row r="212" spans="5:5" hidden="1" x14ac:dyDescent="0.2">
      <c r="E212" s="27"/>
    </row>
    <row r="213" spans="5:5" hidden="1" x14ac:dyDescent="0.2">
      <c r="E213" s="27"/>
    </row>
    <row r="214" spans="5:5" hidden="1" x14ac:dyDescent="0.2">
      <c r="E214" s="27"/>
    </row>
    <row r="215" spans="5:5" hidden="1" x14ac:dyDescent="0.2">
      <c r="E215" s="27"/>
    </row>
    <row r="216" spans="5:5" hidden="1" x14ac:dyDescent="0.2">
      <c r="E216" s="27"/>
    </row>
    <row r="217" spans="5:5" hidden="1" x14ac:dyDescent="0.2">
      <c r="E217" s="27"/>
    </row>
    <row r="218" spans="5:5" hidden="1" x14ac:dyDescent="0.2">
      <c r="E218" s="27"/>
    </row>
    <row r="219" spans="5:5" hidden="1" x14ac:dyDescent="0.2">
      <c r="E219" s="27"/>
    </row>
    <row r="220" spans="5:5" hidden="1" x14ac:dyDescent="0.2">
      <c r="E220" s="27"/>
    </row>
    <row r="221" spans="5:5" hidden="1" x14ac:dyDescent="0.2">
      <c r="E221" s="27"/>
    </row>
    <row r="222" spans="5:5" hidden="1" x14ac:dyDescent="0.2">
      <c r="E222" s="27"/>
    </row>
    <row r="223" spans="5:5" hidden="1" x14ac:dyDescent="0.2">
      <c r="E223" s="27"/>
    </row>
    <row r="224" spans="5:5" hidden="1" x14ac:dyDescent="0.2">
      <c r="E224" s="27"/>
    </row>
    <row r="225" spans="5:5" hidden="1" x14ac:dyDescent="0.2">
      <c r="E225" s="27"/>
    </row>
    <row r="226" spans="5:5" hidden="1" x14ac:dyDescent="0.2">
      <c r="E226" s="27"/>
    </row>
    <row r="227" spans="5:5" hidden="1" x14ac:dyDescent="0.2">
      <c r="E227" s="27"/>
    </row>
    <row r="228" spans="5:5" hidden="1" x14ac:dyDescent="0.2">
      <c r="E228" s="27"/>
    </row>
    <row r="229" spans="5:5" hidden="1" x14ac:dyDescent="0.2">
      <c r="E229" s="27"/>
    </row>
    <row r="230" spans="5:5" hidden="1" x14ac:dyDescent="0.2">
      <c r="E230" s="27"/>
    </row>
    <row r="231" spans="5:5" hidden="1" x14ac:dyDescent="0.2">
      <c r="E231" s="27"/>
    </row>
    <row r="232" spans="5:5" hidden="1" x14ac:dyDescent="0.2">
      <c r="E232" s="27"/>
    </row>
    <row r="233" spans="5:5" hidden="1" x14ac:dyDescent="0.2">
      <c r="E233" s="27"/>
    </row>
    <row r="234" spans="5:5" hidden="1" x14ac:dyDescent="0.2">
      <c r="E234" s="27"/>
    </row>
    <row r="235" spans="5:5" hidden="1" x14ac:dyDescent="0.2">
      <c r="E235" s="27"/>
    </row>
    <row r="236" spans="5:5" hidden="1" x14ac:dyDescent="0.2">
      <c r="E236" s="27"/>
    </row>
    <row r="237" spans="5:5" hidden="1" x14ac:dyDescent="0.2">
      <c r="E237" s="27"/>
    </row>
    <row r="238" spans="5:5" hidden="1" x14ac:dyDescent="0.2">
      <c r="E238" s="27"/>
    </row>
    <row r="239" spans="5:5" hidden="1" x14ac:dyDescent="0.2">
      <c r="E239" s="27"/>
    </row>
    <row r="240" spans="5:5" hidden="1" x14ac:dyDescent="0.2">
      <c r="E240" s="27"/>
    </row>
    <row r="241" spans="5:5" hidden="1" x14ac:dyDescent="0.2">
      <c r="E241" s="27"/>
    </row>
    <row r="242" spans="5:5" hidden="1" x14ac:dyDescent="0.2">
      <c r="E242" s="27"/>
    </row>
    <row r="243" spans="5:5" hidden="1" x14ac:dyDescent="0.2">
      <c r="E243" s="27"/>
    </row>
    <row r="244" spans="5:5" hidden="1" x14ac:dyDescent="0.2">
      <c r="E244" s="27"/>
    </row>
    <row r="245" spans="5:5" hidden="1" x14ac:dyDescent="0.2">
      <c r="E245" s="27"/>
    </row>
    <row r="246" spans="5:5" hidden="1" x14ac:dyDescent="0.2">
      <c r="E246" s="27"/>
    </row>
    <row r="247" spans="5:5" hidden="1" x14ac:dyDescent="0.2">
      <c r="E247" s="27"/>
    </row>
    <row r="248" spans="5:5" hidden="1" x14ac:dyDescent="0.2">
      <c r="E248" s="27"/>
    </row>
    <row r="249" spans="5:5" hidden="1" x14ac:dyDescent="0.2">
      <c r="E249" s="27"/>
    </row>
    <row r="250" spans="5:5" hidden="1" x14ac:dyDescent="0.2">
      <c r="E250" s="27"/>
    </row>
    <row r="251" spans="5:5" hidden="1" x14ac:dyDescent="0.2">
      <c r="E251" s="27"/>
    </row>
    <row r="252" spans="5:5" hidden="1" x14ac:dyDescent="0.2">
      <c r="E252" s="27"/>
    </row>
    <row r="253" spans="5:5" hidden="1" x14ac:dyDescent="0.2">
      <c r="E253" s="27"/>
    </row>
    <row r="254" spans="5:5" hidden="1" x14ac:dyDescent="0.2">
      <c r="E254" s="27"/>
    </row>
    <row r="255" spans="5:5" hidden="1" x14ac:dyDescent="0.2">
      <c r="E255" s="27"/>
    </row>
    <row r="256" spans="5:5" hidden="1" x14ac:dyDescent="0.2">
      <c r="E256" s="27"/>
    </row>
    <row r="257" spans="5:5" hidden="1" x14ac:dyDescent="0.2">
      <c r="E257" s="27"/>
    </row>
    <row r="258" spans="5:5" hidden="1" x14ac:dyDescent="0.2">
      <c r="E258" s="27"/>
    </row>
    <row r="259" spans="5:5" hidden="1" x14ac:dyDescent="0.2">
      <c r="E259" s="27"/>
    </row>
    <row r="260" spans="5:5" hidden="1" x14ac:dyDescent="0.2">
      <c r="E260" s="27"/>
    </row>
    <row r="261" spans="5:5" hidden="1" x14ac:dyDescent="0.2">
      <c r="E261" s="27"/>
    </row>
    <row r="262" spans="5:5" hidden="1" x14ac:dyDescent="0.2">
      <c r="E262" s="27"/>
    </row>
    <row r="263" spans="5:5" hidden="1" x14ac:dyDescent="0.2">
      <c r="E263" s="27"/>
    </row>
    <row r="264" spans="5:5" hidden="1" x14ac:dyDescent="0.2">
      <c r="E264" s="27"/>
    </row>
    <row r="265" spans="5:5" hidden="1" x14ac:dyDescent="0.2">
      <c r="E265" s="27"/>
    </row>
    <row r="266" spans="5:5" hidden="1" x14ac:dyDescent="0.2">
      <c r="E266" s="27"/>
    </row>
    <row r="267" spans="5:5" hidden="1" x14ac:dyDescent="0.2">
      <c r="E267" s="27"/>
    </row>
    <row r="268" spans="5:5" hidden="1" x14ac:dyDescent="0.2">
      <c r="E268" s="27"/>
    </row>
    <row r="269" spans="5:5" hidden="1" x14ac:dyDescent="0.2">
      <c r="E269" s="27"/>
    </row>
    <row r="270" spans="5:5" hidden="1" x14ac:dyDescent="0.2">
      <c r="E270" s="27"/>
    </row>
    <row r="271" spans="5:5" hidden="1" x14ac:dyDescent="0.2">
      <c r="E271" s="27"/>
    </row>
    <row r="272" spans="5:5" hidden="1" x14ac:dyDescent="0.2">
      <c r="E272" s="27"/>
    </row>
    <row r="273" spans="5:5" hidden="1" x14ac:dyDescent="0.2">
      <c r="E273" s="27"/>
    </row>
    <row r="274" spans="5:5" hidden="1" x14ac:dyDescent="0.2">
      <c r="E274" s="27"/>
    </row>
    <row r="275" spans="5:5" hidden="1" x14ac:dyDescent="0.2">
      <c r="E275" s="27"/>
    </row>
    <row r="276" spans="5:5" hidden="1" x14ac:dyDescent="0.2">
      <c r="E276" s="27"/>
    </row>
    <row r="277" spans="5:5" hidden="1" x14ac:dyDescent="0.2">
      <c r="E277" s="27"/>
    </row>
    <row r="278" spans="5:5" hidden="1" x14ac:dyDescent="0.2">
      <c r="E278" s="27"/>
    </row>
    <row r="279" spans="5:5" hidden="1" x14ac:dyDescent="0.2">
      <c r="E279" s="27"/>
    </row>
    <row r="280" spans="5:5" hidden="1" x14ac:dyDescent="0.2">
      <c r="E280" s="27"/>
    </row>
    <row r="281" spans="5:5" hidden="1" x14ac:dyDescent="0.2">
      <c r="E281" s="27"/>
    </row>
    <row r="282" spans="5:5" hidden="1" x14ac:dyDescent="0.2">
      <c r="E282" s="27"/>
    </row>
    <row r="283" spans="5:5" hidden="1" x14ac:dyDescent="0.2">
      <c r="E283" s="27"/>
    </row>
    <row r="284" spans="5:5" hidden="1" x14ac:dyDescent="0.2">
      <c r="E284" s="27"/>
    </row>
    <row r="285" spans="5:5" hidden="1" x14ac:dyDescent="0.2">
      <c r="E285" s="27"/>
    </row>
    <row r="286" spans="5:5" hidden="1" x14ac:dyDescent="0.2">
      <c r="E286" s="27"/>
    </row>
    <row r="287" spans="5:5" hidden="1" x14ac:dyDescent="0.2">
      <c r="E287" s="27"/>
    </row>
    <row r="288" spans="5:5" hidden="1" x14ac:dyDescent="0.2">
      <c r="E288" s="27"/>
    </row>
    <row r="289" spans="5:5" hidden="1" x14ac:dyDescent="0.2">
      <c r="E289" s="27"/>
    </row>
    <row r="290" spans="5:5" hidden="1" x14ac:dyDescent="0.2">
      <c r="E290" s="27"/>
    </row>
    <row r="291" spans="5:5" hidden="1" x14ac:dyDescent="0.2">
      <c r="E291" s="27"/>
    </row>
    <row r="292" spans="5:5" hidden="1" x14ac:dyDescent="0.2">
      <c r="E292" s="27"/>
    </row>
    <row r="293" spans="5:5" hidden="1" x14ac:dyDescent="0.2">
      <c r="E293" s="27"/>
    </row>
    <row r="294" spans="5:5" hidden="1" x14ac:dyDescent="0.2">
      <c r="E294" s="27"/>
    </row>
    <row r="295" spans="5:5" hidden="1" x14ac:dyDescent="0.2">
      <c r="E295" s="27"/>
    </row>
    <row r="296" spans="5:5" hidden="1" x14ac:dyDescent="0.2">
      <c r="E296" s="27"/>
    </row>
    <row r="297" spans="5:5" hidden="1" x14ac:dyDescent="0.2">
      <c r="E297" s="27"/>
    </row>
    <row r="298" spans="5:5" hidden="1" x14ac:dyDescent="0.2">
      <c r="E298" s="27"/>
    </row>
    <row r="299" spans="5:5" hidden="1" x14ac:dyDescent="0.2">
      <c r="E299" s="27"/>
    </row>
    <row r="300" spans="5:5" hidden="1" x14ac:dyDescent="0.2">
      <c r="E300" s="27"/>
    </row>
    <row r="301" spans="5:5" hidden="1" x14ac:dyDescent="0.2">
      <c r="E301" s="27"/>
    </row>
    <row r="302" spans="5:5" hidden="1" x14ac:dyDescent="0.2">
      <c r="E302" s="27"/>
    </row>
    <row r="303" spans="5:5" hidden="1" x14ac:dyDescent="0.2">
      <c r="E303" s="27"/>
    </row>
    <row r="304" spans="5:5" hidden="1" x14ac:dyDescent="0.2">
      <c r="E304" s="27"/>
    </row>
    <row r="305" spans="5:5" hidden="1" x14ac:dyDescent="0.2">
      <c r="E305" s="27"/>
    </row>
    <row r="306" spans="5:5" hidden="1" x14ac:dyDescent="0.2">
      <c r="E306" s="27"/>
    </row>
    <row r="307" spans="5:5" hidden="1" x14ac:dyDescent="0.2">
      <c r="E307" s="27"/>
    </row>
    <row r="308" spans="5:5" hidden="1" x14ac:dyDescent="0.2">
      <c r="E308" s="27"/>
    </row>
    <row r="309" spans="5:5" hidden="1" x14ac:dyDescent="0.2">
      <c r="E309" s="27"/>
    </row>
    <row r="310" spans="5:5" hidden="1" x14ac:dyDescent="0.2">
      <c r="E310" s="27"/>
    </row>
    <row r="311" spans="5:5" hidden="1" x14ac:dyDescent="0.2">
      <c r="E311" s="27"/>
    </row>
    <row r="312" spans="5:5" hidden="1" x14ac:dyDescent="0.2">
      <c r="E312" s="27"/>
    </row>
    <row r="313" spans="5:5" hidden="1" x14ac:dyDescent="0.2">
      <c r="E313" s="27"/>
    </row>
    <row r="314" spans="5:5" hidden="1" x14ac:dyDescent="0.2">
      <c r="E314" s="27"/>
    </row>
    <row r="315" spans="5:5" hidden="1" x14ac:dyDescent="0.2">
      <c r="E315" s="27"/>
    </row>
    <row r="316" spans="5:5" hidden="1" x14ac:dyDescent="0.2">
      <c r="E316" s="27"/>
    </row>
    <row r="317" spans="5:5" hidden="1" x14ac:dyDescent="0.2">
      <c r="E317" s="27"/>
    </row>
    <row r="318" spans="5:5" hidden="1" x14ac:dyDescent="0.2">
      <c r="E318" s="27"/>
    </row>
    <row r="319" spans="5:5" hidden="1" x14ac:dyDescent="0.2">
      <c r="E319" s="27"/>
    </row>
    <row r="320" spans="5:5" hidden="1" x14ac:dyDescent="0.2">
      <c r="E320" s="27"/>
    </row>
    <row r="321" spans="5:5" hidden="1" x14ac:dyDescent="0.2">
      <c r="E321" s="27"/>
    </row>
    <row r="322" spans="5:5" hidden="1" x14ac:dyDescent="0.2">
      <c r="E322" s="27"/>
    </row>
    <row r="323" spans="5:5" hidden="1" x14ac:dyDescent="0.2">
      <c r="E323" s="27"/>
    </row>
    <row r="324" spans="5:5" hidden="1" x14ac:dyDescent="0.2">
      <c r="E324" s="27"/>
    </row>
    <row r="325" spans="5:5" hidden="1" x14ac:dyDescent="0.2">
      <c r="E325" s="27"/>
    </row>
    <row r="326" spans="5:5" hidden="1" x14ac:dyDescent="0.2">
      <c r="E326" s="27"/>
    </row>
    <row r="327" spans="5:5" hidden="1" x14ac:dyDescent="0.2">
      <c r="E327" s="27"/>
    </row>
    <row r="328" spans="5:5" hidden="1" x14ac:dyDescent="0.2">
      <c r="E328" s="27"/>
    </row>
    <row r="329" spans="5:5" hidden="1" x14ac:dyDescent="0.2">
      <c r="E329" s="27"/>
    </row>
    <row r="330" spans="5:5" hidden="1" x14ac:dyDescent="0.2">
      <c r="E330" s="27"/>
    </row>
    <row r="331" spans="5:5" hidden="1" x14ac:dyDescent="0.2">
      <c r="E331" s="27"/>
    </row>
    <row r="332" spans="5:5" hidden="1" x14ac:dyDescent="0.2">
      <c r="E332" s="27"/>
    </row>
    <row r="333" spans="5:5" hidden="1" x14ac:dyDescent="0.2">
      <c r="E333" s="27"/>
    </row>
    <row r="334" spans="5:5" hidden="1" x14ac:dyDescent="0.2">
      <c r="E334" s="27"/>
    </row>
    <row r="335" spans="5:5" hidden="1" x14ac:dyDescent="0.2">
      <c r="E335" s="27"/>
    </row>
    <row r="336" spans="5:5" hidden="1" x14ac:dyDescent="0.2">
      <c r="E336" s="27"/>
    </row>
    <row r="337" spans="5:5" hidden="1" x14ac:dyDescent="0.2">
      <c r="E337" s="27"/>
    </row>
    <row r="338" spans="5:5" hidden="1" x14ac:dyDescent="0.2">
      <c r="E338" s="27"/>
    </row>
    <row r="339" spans="5:5" hidden="1" x14ac:dyDescent="0.2">
      <c r="E339" s="27"/>
    </row>
    <row r="340" spans="5:5" hidden="1" x14ac:dyDescent="0.2">
      <c r="E340" s="27"/>
    </row>
    <row r="341" spans="5:5" hidden="1" x14ac:dyDescent="0.2">
      <c r="E341" s="27"/>
    </row>
    <row r="342" spans="5:5" hidden="1" x14ac:dyDescent="0.2">
      <c r="E342" s="27"/>
    </row>
    <row r="343" spans="5:5" hidden="1" x14ac:dyDescent="0.2">
      <c r="E343" s="27"/>
    </row>
    <row r="344" spans="5:5" hidden="1" x14ac:dyDescent="0.2">
      <c r="E344" s="27"/>
    </row>
    <row r="345" spans="5:5" hidden="1" x14ac:dyDescent="0.2">
      <c r="E345" s="27"/>
    </row>
    <row r="346" spans="5:5" hidden="1" x14ac:dyDescent="0.2">
      <c r="E346" s="27"/>
    </row>
    <row r="347" spans="5:5" hidden="1" x14ac:dyDescent="0.2">
      <c r="E347" s="27"/>
    </row>
    <row r="348" spans="5:5" hidden="1" x14ac:dyDescent="0.2">
      <c r="E348" s="27"/>
    </row>
    <row r="349" spans="5:5" hidden="1" x14ac:dyDescent="0.2">
      <c r="E349" s="27"/>
    </row>
    <row r="350" spans="5:5" hidden="1" x14ac:dyDescent="0.2">
      <c r="E350" s="27"/>
    </row>
    <row r="351" spans="5:5" hidden="1" x14ac:dyDescent="0.2">
      <c r="E351" s="27"/>
    </row>
    <row r="352" spans="5:5" hidden="1" x14ac:dyDescent="0.2">
      <c r="E352" s="27"/>
    </row>
    <row r="353" spans="5:5" hidden="1" x14ac:dyDescent="0.2">
      <c r="E353" s="27"/>
    </row>
    <row r="354" spans="5:5" hidden="1" x14ac:dyDescent="0.2">
      <c r="E354" s="27"/>
    </row>
    <row r="355" spans="5:5" hidden="1" x14ac:dyDescent="0.2">
      <c r="E355" s="27"/>
    </row>
    <row r="356" spans="5:5" hidden="1" x14ac:dyDescent="0.2">
      <c r="E356" s="27"/>
    </row>
    <row r="357" spans="5:5" hidden="1" x14ac:dyDescent="0.2">
      <c r="E357" s="27"/>
    </row>
    <row r="358" spans="5:5" hidden="1" x14ac:dyDescent="0.2">
      <c r="E358" s="27"/>
    </row>
    <row r="359" spans="5:5" hidden="1" x14ac:dyDescent="0.2">
      <c r="E359" s="27"/>
    </row>
    <row r="360" spans="5:5" hidden="1" x14ac:dyDescent="0.2">
      <c r="E360" s="27"/>
    </row>
    <row r="361" spans="5:5" hidden="1" x14ac:dyDescent="0.2">
      <c r="E361" s="27"/>
    </row>
    <row r="362" spans="5:5" hidden="1" x14ac:dyDescent="0.2">
      <c r="E362" s="27"/>
    </row>
    <row r="363" spans="5:5" hidden="1" x14ac:dyDescent="0.2">
      <c r="E363" s="27"/>
    </row>
    <row r="364" spans="5:5" hidden="1" x14ac:dyDescent="0.2">
      <c r="E364" s="27"/>
    </row>
    <row r="365" spans="5:5" hidden="1" x14ac:dyDescent="0.2">
      <c r="E365" s="27"/>
    </row>
    <row r="366" spans="5:5" hidden="1" x14ac:dyDescent="0.2">
      <c r="E366" s="27"/>
    </row>
    <row r="367" spans="5:5" hidden="1" x14ac:dyDescent="0.2">
      <c r="E367" s="27"/>
    </row>
    <row r="368" spans="5:5" hidden="1" x14ac:dyDescent="0.2">
      <c r="E368" s="27"/>
    </row>
    <row r="369" spans="5:5" hidden="1" x14ac:dyDescent="0.2">
      <c r="E369" s="27"/>
    </row>
    <row r="370" spans="5:5" hidden="1" x14ac:dyDescent="0.2">
      <c r="E370" s="27"/>
    </row>
    <row r="371" spans="5:5" hidden="1" x14ac:dyDescent="0.2">
      <c r="E371" s="27"/>
    </row>
    <row r="372" spans="5:5" hidden="1" x14ac:dyDescent="0.2">
      <c r="E372" s="27"/>
    </row>
    <row r="373" spans="5:5" hidden="1" x14ac:dyDescent="0.2">
      <c r="E373" s="27"/>
    </row>
    <row r="374" spans="5:5" hidden="1" x14ac:dyDescent="0.2">
      <c r="E374" s="27"/>
    </row>
    <row r="375" spans="5:5" hidden="1" x14ac:dyDescent="0.2">
      <c r="E375" s="27"/>
    </row>
    <row r="376" spans="5:5" hidden="1" x14ac:dyDescent="0.2">
      <c r="E376" s="27"/>
    </row>
    <row r="377" spans="5:5" hidden="1" x14ac:dyDescent="0.2">
      <c r="E377" s="27"/>
    </row>
    <row r="378" spans="5:5" hidden="1" x14ac:dyDescent="0.2">
      <c r="E378" s="27"/>
    </row>
    <row r="379" spans="5:5" hidden="1" x14ac:dyDescent="0.2">
      <c r="E379" s="27"/>
    </row>
    <row r="380" spans="5:5" hidden="1" x14ac:dyDescent="0.2">
      <c r="E380" s="27"/>
    </row>
    <row r="381" spans="5:5" hidden="1" x14ac:dyDescent="0.2">
      <c r="E381" s="27"/>
    </row>
    <row r="382" spans="5:5" hidden="1" x14ac:dyDescent="0.2">
      <c r="E382" s="27"/>
    </row>
    <row r="383" spans="5:5" hidden="1" x14ac:dyDescent="0.2">
      <c r="E383" s="27"/>
    </row>
    <row r="384" spans="5:5" hidden="1" x14ac:dyDescent="0.2">
      <c r="E384" s="27"/>
    </row>
    <row r="385" spans="5:5" hidden="1" x14ac:dyDescent="0.2">
      <c r="E385" s="27"/>
    </row>
    <row r="386" spans="5:5" hidden="1" x14ac:dyDescent="0.2">
      <c r="E386" s="27"/>
    </row>
    <row r="387" spans="5:5" hidden="1" x14ac:dyDescent="0.2">
      <c r="E387" s="27"/>
    </row>
    <row r="388" spans="5:5" hidden="1" x14ac:dyDescent="0.2">
      <c r="E388" s="27"/>
    </row>
    <row r="389" spans="5:5" hidden="1" x14ac:dyDescent="0.2">
      <c r="E389" s="27"/>
    </row>
    <row r="390" spans="5:5" hidden="1" x14ac:dyDescent="0.2">
      <c r="E390" s="27"/>
    </row>
    <row r="391" spans="5:5" hidden="1" x14ac:dyDescent="0.2">
      <c r="E391" s="27"/>
    </row>
    <row r="392" spans="5:5" hidden="1" x14ac:dyDescent="0.2">
      <c r="E392" s="27"/>
    </row>
    <row r="393" spans="5:5" hidden="1" x14ac:dyDescent="0.2">
      <c r="E393" s="27"/>
    </row>
    <row r="394" spans="5:5" hidden="1" x14ac:dyDescent="0.2">
      <c r="E394" s="27"/>
    </row>
    <row r="395" spans="5:5" hidden="1" x14ac:dyDescent="0.2">
      <c r="E395" s="27"/>
    </row>
    <row r="396" spans="5:5" hidden="1" x14ac:dyDescent="0.2">
      <c r="E396" s="27"/>
    </row>
    <row r="397" spans="5:5" hidden="1" x14ac:dyDescent="0.2">
      <c r="E397" s="27"/>
    </row>
    <row r="398" spans="5:5" hidden="1" x14ac:dyDescent="0.2">
      <c r="E398" s="27"/>
    </row>
    <row r="399" spans="5:5" hidden="1" x14ac:dyDescent="0.2">
      <c r="E399" s="27"/>
    </row>
    <row r="400" spans="5:5" hidden="1" x14ac:dyDescent="0.2">
      <c r="E400" s="27"/>
    </row>
    <row r="401" spans="5:5" hidden="1" x14ac:dyDescent="0.2">
      <c r="E401" s="27"/>
    </row>
    <row r="402" spans="5:5" hidden="1" x14ac:dyDescent="0.2">
      <c r="E402" s="27"/>
    </row>
    <row r="403" spans="5:5" hidden="1" x14ac:dyDescent="0.2">
      <c r="E403" s="27"/>
    </row>
    <row r="404" spans="5:5" hidden="1" x14ac:dyDescent="0.2">
      <c r="E404" s="27"/>
    </row>
    <row r="405" spans="5:5" hidden="1" x14ac:dyDescent="0.2">
      <c r="E405" s="27"/>
    </row>
    <row r="406" spans="5:5" hidden="1" x14ac:dyDescent="0.2">
      <c r="E406" s="27"/>
    </row>
    <row r="407" spans="5:5" hidden="1" x14ac:dyDescent="0.2">
      <c r="E407" s="27"/>
    </row>
    <row r="408" spans="5:5" hidden="1" x14ac:dyDescent="0.2">
      <c r="E408" s="27"/>
    </row>
    <row r="409" spans="5:5" hidden="1" x14ac:dyDescent="0.2">
      <c r="E409" s="27"/>
    </row>
    <row r="410" spans="5:5" hidden="1" x14ac:dyDescent="0.2">
      <c r="E410" s="27"/>
    </row>
    <row r="411" spans="5:5" hidden="1" x14ac:dyDescent="0.2">
      <c r="E411" s="27"/>
    </row>
    <row r="412" spans="5:5" hidden="1" x14ac:dyDescent="0.2">
      <c r="E412" s="27"/>
    </row>
    <row r="413" spans="5:5" hidden="1" x14ac:dyDescent="0.2">
      <c r="E413" s="27"/>
    </row>
    <row r="414" spans="5:5" hidden="1" x14ac:dyDescent="0.2">
      <c r="E414" s="27"/>
    </row>
    <row r="415" spans="5:5" hidden="1" x14ac:dyDescent="0.2">
      <c r="E415" s="27"/>
    </row>
    <row r="416" spans="5:5" hidden="1" x14ac:dyDescent="0.2">
      <c r="E416" s="27"/>
    </row>
    <row r="417" spans="5:5" hidden="1" x14ac:dyDescent="0.2">
      <c r="E417" s="27"/>
    </row>
    <row r="418" spans="5:5" hidden="1" x14ac:dyDescent="0.2">
      <c r="E418" s="27"/>
    </row>
    <row r="419" spans="5:5" hidden="1" x14ac:dyDescent="0.2">
      <c r="E419" s="27"/>
    </row>
    <row r="420" spans="5:5" hidden="1" x14ac:dyDescent="0.2">
      <c r="E420" s="27"/>
    </row>
    <row r="421" spans="5:5" hidden="1" x14ac:dyDescent="0.2">
      <c r="E421" s="27"/>
    </row>
    <row r="422" spans="5:5" hidden="1" x14ac:dyDescent="0.2">
      <c r="E422" s="27"/>
    </row>
    <row r="423" spans="5:5" hidden="1" x14ac:dyDescent="0.2">
      <c r="E423" s="27"/>
    </row>
    <row r="424" spans="5:5" hidden="1" x14ac:dyDescent="0.2">
      <c r="E424" s="27"/>
    </row>
    <row r="425" spans="5:5" hidden="1" x14ac:dyDescent="0.2">
      <c r="E425" s="27"/>
    </row>
    <row r="426" spans="5:5" hidden="1" x14ac:dyDescent="0.2">
      <c r="E426" s="27"/>
    </row>
    <row r="427" spans="5:5" hidden="1" x14ac:dyDescent="0.2">
      <c r="E427" s="27"/>
    </row>
    <row r="428" spans="5:5" hidden="1" x14ac:dyDescent="0.2">
      <c r="E428" s="27"/>
    </row>
    <row r="429" spans="5:5" hidden="1" x14ac:dyDescent="0.2">
      <c r="E429" s="27"/>
    </row>
    <row r="430" spans="5:5" hidden="1" x14ac:dyDescent="0.2">
      <c r="E430" s="27"/>
    </row>
    <row r="431" spans="5:5" hidden="1" x14ac:dyDescent="0.2">
      <c r="E431" s="27"/>
    </row>
    <row r="432" spans="5:5" hidden="1" x14ac:dyDescent="0.2">
      <c r="E432" s="27"/>
    </row>
    <row r="433" spans="5:5" hidden="1" x14ac:dyDescent="0.2">
      <c r="E433" s="27"/>
    </row>
    <row r="434" spans="5:5" hidden="1" x14ac:dyDescent="0.2">
      <c r="E434" s="27"/>
    </row>
    <row r="435" spans="5:5" hidden="1" x14ac:dyDescent="0.2">
      <c r="E435" s="27"/>
    </row>
    <row r="436" spans="5:5" hidden="1" x14ac:dyDescent="0.2">
      <c r="E436" s="27"/>
    </row>
    <row r="437" spans="5:5" hidden="1" x14ac:dyDescent="0.2">
      <c r="E437" s="27"/>
    </row>
    <row r="438" spans="5:5" hidden="1" x14ac:dyDescent="0.2">
      <c r="E438" s="27"/>
    </row>
    <row r="439" spans="5:5" hidden="1" x14ac:dyDescent="0.2">
      <c r="E439" s="27"/>
    </row>
    <row r="440" spans="5:5" hidden="1" x14ac:dyDescent="0.2">
      <c r="E440" s="27"/>
    </row>
    <row r="441" spans="5:5" hidden="1" x14ac:dyDescent="0.2">
      <c r="E441" s="27"/>
    </row>
    <row r="442" spans="5:5" hidden="1" x14ac:dyDescent="0.2">
      <c r="E442" s="27"/>
    </row>
    <row r="443" spans="5:5" hidden="1" x14ac:dyDescent="0.2">
      <c r="E443" s="27"/>
    </row>
    <row r="444" spans="5:5" hidden="1" x14ac:dyDescent="0.2">
      <c r="E444" s="27"/>
    </row>
    <row r="445" spans="5:5" hidden="1" x14ac:dyDescent="0.2">
      <c r="E445" s="27"/>
    </row>
    <row r="446" spans="5:5" hidden="1" x14ac:dyDescent="0.2">
      <c r="E446" s="27"/>
    </row>
    <row r="447" spans="5:5" hidden="1" x14ac:dyDescent="0.2">
      <c r="E447" s="27"/>
    </row>
    <row r="448" spans="5:5" hidden="1" x14ac:dyDescent="0.2">
      <c r="E448" s="27"/>
    </row>
    <row r="449" spans="5:5" hidden="1" x14ac:dyDescent="0.2">
      <c r="E449" s="27"/>
    </row>
    <row r="450" spans="5:5" hidden="1" x14ac:dyDescent="0.2">
      <c r="E450" s="27"/>
    </row>
    <row r="451" spans="5:5" hidden="1" x14ac:dyDescent="0.2">
      <c r="E451" s="27"/>
    </row>
    <row r="452" spans="5:5" hidden="1" x14ac:dyDescent="0.2">
      <c r="E452" s="27"/>
    </row>
    <row r="453" spans="5:5" hidden="1" x14ac:dyDescent="0.2">
      <c r="E453" s="27"/>
    </row>
    <row r="454" spans="5:5" hidden="1" x14ac:dyDescent="0.2">
      <c r="E454" s="27"/>
    </row>
    <row r="455" spans="5:5" hidden="1" x14ac:dyDescent="0.2">
      <c r="E455" s="27"/>
    </row>
    <row r="456" spans="5:5" hidden="1" x14ac:dyDescent="0.2">
      <c r="E456" s="27"/>
    </row>
    <row r="457" spans="5:5" hidden="1" x14ac:dyDescent="0.2">
      <c r="E457" s="27"/>
    </row>
    <row r="458" spans="5:5" hidden="1" x14ac:dyDescent="0.2">
      <c r="E458" s="27"/>
    </row>
    <row r="459" spans="5:5" hidden="1" x14ac:dyDescent="0.2">
      <c r="E459" s="27"/>
    </row>
    <row r="460" spans="5:5" hidden="1" x14ac:dyDescent="0.2">
      <c r="E460" s="27"/>
    </row>
    <row r="461" spans="5:5" hidden="1" x14ac:dyDescent="0.2">
      <c r="E461" s="27"/>
    </row>
    <row r="462" spans="5:5" hidden="1" x14ac:dyDescent="0.2">
      <c r="E462" s="27"/>
    </row>
    <row r="463" spans="5:5" hidden="1" x14ac:dyDescent="0.2">
      <c r="E463" s="27"/>
    </row>
    <row r="464" spans="5:5" hidden="1" x14ac:dyDescent="0.2">
      <c r="E464" s="27"/>
    </row>
    <row r="465" spans="5:5" hidden="1" x14ac:dyDescent="0.2">
      <c r="E465" s="27"/>
    </row>
    <row r="466" spans="5:5" hidden="1" x14ac:dyDescent="0.2">
      <c r="E466" s="27"/>
    </row>
    <row r="467" spans="5:5" hidden="1" x14ac:dyDescent="0.2">
      <c r="E467" s="27"/>
    </row>
    <row r="468" spans="5:5" hidden="1" x14ac:dyDescent="0.2">
      <c r="E468" s="27"/>
    </row>
    <row r="469" spans="5:5" hidden="1" x14ac:dyDescent="0.2">
      <c r="E469" s="27"/>
    </row>
    <row r="470" spans="5:5" hidden="1" x14ac:dyDescent="0.2">
      <c r="E470" s="27"/>
    </row>
    <row r="471" spans="5:5" hidden="1" x14ac:dyDescent="0.2">
      <c r="E471" s="27"/>
    </row>
    <row r="472" spans="5:5" hidden="1" x14ac:dyDescent="0.2">
      <c r="E472" s="27"/>
    </row>
    <row r="473" spans="5:5" hidden="1" x14ac:dyDescent="0.2">
      <c r="E473" s="27"/>
    </row>
    <row r="474" spans="5:5" hidden="1" x14ac:dyDescent="0.2">
      <c r="E474" s="27"/>
    </row>
    <row r="475" spans="5:5" hidden="1" x14ac:dyDescent="0.2">
      <c r="E475" s="27"/>
    </row>
    <row r="476" spans="5:5" hidden="1" x14ac:dyDescent="0.2">
      <c r="E476" s="27"/>
    </row>
    <row r="477" spans="5:5" hidden="1" x14ac:dyDescent="0.2">
      <c r="E477" s="27"/>
    </row>
    <row r="478" spans="5:5" hidden="1" x14ac:dyDescent="0.2">
      <c r="E478" s="27"/>
    </row>
    <row r="479" spans="5:5" hidden="1" x14ac:dyDescent="0.2">
      <c r="E479" s="27"/>
    </row>
    <row r="480" spans="5:5" hidden="1" x14ac:dyDescent="0.2">
      <c r="E480" s="27"/>
    </row>
    <row r="481" spans="5:5" hidden="1" x14ac:dyDescent="0.2">
      <c r="E481" s="27"/>
    </row>
    <row r="482" spans="5:5" hidden="1" x14ac:dyDescent="0.2">
      <c r="E482" s="27"/>
    </row>
    <row r="483" spans="5:5" hidden="1" x14ac:dyDescent="0.2">
      <c r="E483" s="27"/>
    </row>
    <row r="484" spans="5:5" hidden="1" x14ac:dyDescent="0.2">
      <c r="E484" s="27"/>
    </row>
    <row r="485" spans="5:5" hidden="1" x14ac:dyDescent="0.2">
      <c r="E485" s="27"/>
    </row>
    <row r="486" spans="5:5" hidden="1" x14ac:dyDescent="0.2">
      <c r="E486" s="27"/>
    </row>
    <row r="487" spans="5:5" hidden="1" x14ac:dyDescent="0.2">
      <c r="E487" s="27"/>
    </row>
    <row r="488" spans="5:5" hidden="1" x14ac:dyDescent="0.2">
      <c r="E488" s="27"/>
    </row>
    <row r="489" spans="5:5" hidden="1" x14ac:dyDescent="0.2">
      <c r="E489" s="27"/>
    </row>
    <row r="490" spans="5:5" hidden="1" x14ac:dyDescent="0.2">
      <c r="E490" s="27"/>
    </row>
    <row r="491" spans="5:5" hidden="1" x14ac:dyDescent="0.2">
      <c r="E491" s="27"/>
    </row>
    <row r="492" spans="5:5" hidden="1" x14ac:dyDescent="0.2">
      <c r="E492" s="27"/>
    </row>
    <row r="493" spans="5:5" hidden="1" x14ac:dyDescent="0.2">
      <c r="E493" s="27"/>
    </row>
    <row r="494" spans="5:5" hidden="1" x14ac:dyDescent="0.2">
      <c r="E494" s="27"/>
    </row>
    <row r="495" spans="5:5" hidden="1" x14ac:dyDescent="0.2">
      <c r="E495" s="27"/>
    </row>
    <row r="496" spans="5:5" hidden="1" x14ac:dyDescent="0.2">
      <c r="E496" s="27"/>
    </row>
    <row r="497" spans="5:5" hidden="1" x14ac:dyDescent="0.2">
      <c r="E497" s="27"/>
    </row>
    <row r="498" spans="5:5" hidden="1" x14ac:dyDescent="0.2">
      <c r="E498" s="27"/>
    </row>
    <row r="499" spans="5:5" hidden="1" x14ac:dyDescent="0.2">
      <c r="E499" s="27"/>
    </row>
    <row r="500" spans="5:5" hidden="1" x14ac:dyDescent="0.2">
      <c r="E500" s="27"/>
    </row>
    <row r="501" spans="5:5" hidden="1" x14ac:dyDescent="0.2">
      <c r="E501" s="27"/>
    </row>
    <row r="502" spans="5:5" hidden="1" x14ac:dyDescent="0.2">
      <c r="E502" s="27"/>
    </row>
    <row r="503" spans="5:5" hidden="1" x14ac:dyDescent="0.2">
      <c r="E503" s="27"/>
    </row>
    <row r="504" spans="5:5" hidden="1" x14ac:dyDescent="0.2">
      <c r="E504" s="27"/>
    </row>
    <row r="505" spans="5:5" hidden="1" x14ac:dyDescent="0.2">
      <c r="E505" s="27"/>
    </row>
    <row r="506" spans="5:5" hidden="1" x14ac:dyDescent="0.2">
      <c r="E506" s="27"/>
    </row>
    <row r="507" spans="5:5" hidden="1" x14ac:dyDescent="0.2">
      <c r="E507" s="27"/>
    </row>
    <row r="508" spans="5:5" hidden="1" x14ac:dyDescent="0.2">
      <c r="E508" s="27"/>
    </row>
    <row r="509" spans="5:5" hidden="1" x14ac:dyDescent="0.2">
      <c r="E509" s="27"/>
    </row>
    <row r="510" spans="5:5" hidden="1" x14ac:dyDescent="0.2">
      <c r="E510" s="27"/>
    </row>
    <row r="511" spans="5:5" hidden="1" x14ac:dyDescent="0.2">
      <c r="E511" s="27"/>
    </row>
    <row r="512" spans="5:5" hidden="1" x14ac:dyDescent="0.2">
      <c r="E512" s="27"/>
    </row>
    <row r="513" spans="5:5" hidden="1" x14ac:dyDescent="0.2">
      <c r="E513" s="27"/>
    </row>
    <row r="514" spans="5:5" hidden="1" x14ac:dyDescent="0.2">
      <c r="E514" s="27"/>
    </row>
    <row r="515" spans="5:5" hidden="1" x14ac:dyDescent="0.2">
      <c r="E515" s="27"/>
    </row>
    <row r="516" spans="5:5" hidden="1" x14ac:dyDescent="0.2">
      <c r="E516" s="27"/>
    </row>
    <row r="517" spans="5:5" hidden="1" x14ac:dyDescent="0.2">
      <c r="E517" s="27"/>
    </row>
    <row r="518" spans="5:5" hidden="1" x14ac:dyDescent="0.2">
      <c r="E518" s="27"/>
    </row>
    <row r="519" spans="5:5" hidden="1" x14ac:dyDescent="0.2">
      <c r="E519" s="27"/>
    </row>
    <row r="520" spans="5:5" hidden="1" x14ac:dyDescent="0.2">
      <c r="E520" s="27"/>
    </row>
    <row r="521" spans="5:5" hidden="1" x14ac:dyDescent="0.2">
      <c r="E521" s="27"/>
    </row>
    <row r="522" spans="5:5" hidden="1" x14ac:dyDescent="0.2">
      <c r="E522" s="27"/>
    </row>
    <row r="523" spans="5:5" hidden="1" x14ac:dyDescent="0.2">
      <c r="E523" s="27"/>
    </row>
    <row r="524" spans="5:5" hidden="1" x14ac:dyDescent="0.2">
      <c r="E524" s="27"/>
    </row>
    <row r="525" spans="5:5" hidden="1" x14ac:dyDescent="0.2">
      <c r="E525" s="27"/>
    </row>
    <row r="526" spans="5:5" hidden="1" x14ac:dyDescent="0.2">
      <c r="E526" s="27"/>
    </row>
    <row r="527" spans="5:5" hidden="1" x14ac:dyDescent="0.2">
      <c r="E527" s="27"/>
    </row>
    <row r="528" spans="5:5" hidden="1" x14ac:dyDescent="0.2">
      <c r="E528" s="27"/>
    </row>
    <row r="529" spans="5:5" hidden="1" x14ac:dyDescent="0.2">
      <c r="E529" s="27"/>
    </row>
    <row r="530" spans="5:5" hidden="1" x14ac:dyDescent="0.2">
      <c r="E530" s="27"/>
    </row>
    <row r="531" spans="5:5" hidden="1" x14ac:dyDescent="0.2">
      <c r="E531" s="27"/>
    </row>
    <row r="532" spans="5:5" hidden="1" x14ac:dyDescent="0.2">
      <c r="E532" s="27"/>
    </row>
    <row r="533" spans="5:5" hidden="1" x14ac:dyDescent="0.2">
      <c r="E533" s="27"/>
    </row>
    <row r="534" spans="5:5" hidden="1" x14ac:dyDescent="0.2">
      <c r="E534" s="27"/>
    </row>
    <row r="535" spans="5:5" hidden="1" x14ac:dyDescent="0.2">
      <c r="E535" s="27"/>
    </row>
    <row r="536" spans="5:5" hidden="1" x14ac:dyDescent="0.2">
      <c r="E536" s="27"/>
    </row>
    <row r="537" spans="5:5" hidden="1" x14ac:dyDescent="0.2">
      <c r="E537" s="27"/>
    </row>
    <row r="538" spans="5:5" hidden="1" x14ac:dyDescent="0.2">
      <c r="E538" s="27"/>
    </row>
    <row r="539" spans="5:5" hidden="1" x14ac:dyDescent="0.2">
      <c r="E539" s="27"/>
    </row>
    <row r="540" spans="5:5" hidden="1" x14ac:dyDescent="0.2">
      <c r="E540" s="27"/>
    </row>
    <row r="541" spans="5:5" hidden="1" x14ac:dyDescent="0.2">
      <c r="E541" s="27"/>
    </row>
    <row r="542" spans="5:5" hidden="1" x14ac:dyDescent="0.2">
      <c r="E542" s="27"/>
    </row>
    <row r="543" spans="5:5" hidden="1" x14ac:dyDescent="0.2">
      <c r="E543" s="27"/>
    </row>
    <row r="544" spans="5:5" hidden="1" x14ac:dyDescent="0.2">
      <c r="E544" s="27"/>
    </row>
    <row r="545" spans="5:5" hidden="1" x14ac:dyDescent="0.2">
      <c r="E545" s="27"/>
    </row>
    <row r="546" spans="5:5" hidden="1" x14ac:dyDescent="0.2">
      <c r="E546" s="27"/>
    </row>
    <row r="547" spans="5:5" hidden="1" x14ac:dyDescent="0.2">
      <c r="E547" s="27"/>
    </row>
    <row r="548" spans="5:5" hidden="1" x14ac:dyDescent="0.2">
      <c r="E548" s="27"/>
    </row>
    <row r="549" spans="5:5" hidden="1" x14ac:dyDescent="0.2">
      <c r="E549" s="27"/>
    </row>
    <row r="550" spans="5:5" hidden="1" x14ac:dyDescent="0.2">
      <c r="E550" s="27"/>
    </row>
    <row r="551" spans="5:5" hidden="1" x14ac:dyDescent="0.2">
      <c r="E551" s="27"/>
    </row>
    <row r="552" spans="5:5" hidden="1" x14ac:dyDescent="0.2">
      <c r="E552" s="27"/>
    </row>
    <row r="553" spans="5:5" hidden="1" x14ac:dyDescent="0.2">
      <c r="E553" s="27"/>
    </row>
    <row r="554" spans="5:5" hidden="1" x14ac:dyDescent="0.2">
      <c r="E554" s="27"/>
    </row>
    <row r="555" spans="5:5" hidden="1" x14ac:dyDescent="0.2">
      <c r="E555" s="27"/>
    </row>
    <row r="556" spans="5:5" hidden="1" x14ac:dyDescent="0.2">
      <c r="E556" s="27"/>
    </row>
    <row r="557" spans="5:5" hidden="1" x14ac:dyDescent="0.2">
      <c r="E557" s="27"/>
    </row>
    <row r="558" spans="5:5" hidden="1" x14ac:dyDescent="0.2">
      <c r="E558" s="27"/>
    </row>
    <row r="559" spans="5:5" hidden="1" x14ac:dyDescent="0.2">
      <c r="E559" s="27"/>
    </row>
    <row r="560" spans="5:5" hidden="1" x14ac:dyDescent="0.2">
      <c r="E560" s="27"/>
    </row>
    <row r="561" spans="5:5" hidden="1" x14ac:dyDescent="0.2">
      <c r="E561" s="27"/>
    </row>
    <row r="562" spans="5:5" hidden="1" x14ac:dyDescent="0.2">
      <c r="E562" s="27"/>
    </row>
    <row r="563" spans="5:5" hidden="1" x14ac:dyDescent="0.2">
      <c r="E563" s="27"/>
    </row>
    <row r="564" spans="5:5" hidden="1" x14ac:dyDescent="0.2">
      <c r="E564" s="27"/>
    </row>
    <row r="565" spans="5:5" hidden="1" x14ac:dyDescent="0.2">
      <c r="E565" s="27"/>
    </row>
    <row r="566" spans="5:5" hidden="1" x14ac:dyDescent="0.2">
      <c r="E566" s="27"/>
    </row>
    <row r="567" spans="5:5" hidden="1" x14ac:dyDescent="0.2">
      <c r="E567" s="27"/>
    </row>
    <row r="568" spans="5:5" hidden="1" x14ac:dyDescent="0.2">
      <c r="E568" s="27"/>
    </row>
    <row r="569" spans="5:5" hidden="1" x14ac:dyDescent="0.2">
      <c r="E569" s="27"/>
    </row>
    <row r="570" spans="5:5" hidden="1" x14ac:dyDescent="0.2">
      <c r="E570" s="27"/>
    </row>
    <row r="571" spans="5:5" hidden="1" x14ac:dyDescent="0.2">
      <c r="E571" s="27"/>
    </row>
    <row r="572" spans="5:5" hidden="1" x14ac:dyDescent="0.2">
      <c r="E572" s="27"/>
    </row>
    <row r="573" spans="5:5" hidden="1" x14ac:dyDescent="0.2">
      <c r="E573" s="27"/>
    </row>
    <row r="574" spans="5:5" hidden="1" x14ac:dyDescent="0.2">
      <c r="E574" s="27"/>
    </row>
    <row r="575" spans="5:5" hidden="1" x14ac:dyDescent="0.2">
      <c r="E575" s="27"/>
    </row>
    <row r="576" spans="5:5" hidden="1" x14ac:dyDescent="0.2">
      <c r="E576" s="27"/>
    </row>
    <row r="577" spans="5:5" hidden="1" x14ac:dyDescent="0.2">
      <c r="E577" s="27"/>
    </row>
    <row r="578" spans="5:5" hidden="1" x14ac:dyDescent="0.2">
      <c r="E578" s="27"/>
    </row>
    <row r="579" spans="5:5" hidden="1" x14ac:dyDescent="0.2">
      <c r="E579" s="27"/>
    </row>
    <row r="580" spans="5:5" hidden="1" x14ac:dyDescent="0.2">
      <c r="E580" s="27"/>
    </row>
    <row r="581" spans="5:5" hidden="1" x14ac:dyDescent="0.2">
      <c r="E581" s="27"/>
    </row>
    <row r="582" spans="5:5" hidden="1" x14ac:dyDescent="0.2">
      <c r="E582" s="27"/>
    </row>
    <row r="583" spans="5:5" hidden="1" x14ac:dyDescent="0.2">
      <c r="E583" s="27"/>
    </row>
    <row r="584" spans="5:5" hidden="1" x14ac:dyDescent="0.2">
      <c r="E584" s="27"/>
    </row>
    <row r="585" spans="5:5" hidden="1" x14ac:dyDescent="0.2">
      <c r="E585" s="27"/>
    </row>
    <row r="586" spans="5:5" hidden="1" x14ac:dyDescent="0.2">
      <c r="E586" s="27"/>
    </row>
    <row r="587" spans="5:5" hidden="1" x14ac:dyDescent="0.2">
      <c r="E587" s="27"/>
    </row>
    <row r="588" spans="5:5" hidden="1" x14ac:dyDescent="0.2">
      <c r="E588" s="27"/>
    </row>
    <row r="589" spans="5:5" hidden="1" x14ac:dyDescent="0.2">
      <c r="E589" s="27"/>
    </row>
    <row r="590" spans="5:5" hidden="1" x14ac:dyDescent="0.2">
      <c r="E590" s="27"/>
    </row>
    <row r="591" spans="5:5" hidden="1" x14ac:dyDescent="0.2">
      <c r="E591" s="27"/>
    </row>
    <row r="592" spans="5:5" hidden="1" x14ac:dyDescent="0.2">
      <c r="E592" s="27"/>
    </row>
    <row r="593" spans="5:5" hidden="1" x14ac:dyDescent="0.2">
      <c r="E593" s="27"/>
    </row>
    <row r="594" spans="5:5" hidden="1" x14ac:dyDescent="0.2">
      <c r="E594" s="27"/>
    </row>
    <row r="595" spans="5:5" hidden="1" x14ac:dyDescent="0.2">
      <c r="E595" s="27"/>
    </row>
    <row r="596" spans="5:5" hidden="1" x14ac:dyDescent="0.2">
      <c r="E596" s="27"/>
    </row>
    <row r="597" spans="5:5" hidden="1" x14ac:dyDescent="0.2">
      <c r="E597" s="27"/>
    </row>
    <row r="598" spans="5:5" hidden="1" x14ac:dyDescent="0.2">
      <c r="E598" s="27"/>
    </row>
    <row r="599" spans="5:5" hidden="1" x14ac:dyDescent="0.2">
      <c r="E599" s="27"/>
    </row>
    <row r="600" spans="5:5" hidden="1" x14ac:dyDescent="0.2">
      <c r="E600" s="27"/>
    </row>
    <row r="601" spans="5:5" hidden="1" x14ac:dyDescent="0.2">
      <c r="E601" s="27"/>
    </row>
    <row r="602" spans="5:5" hidden="1" x14ac:dyDescent="0.2">
      <c r="E602" s="27"/>
    </row>
    <row r="603" spans="5:5" hidden="1" x14ac:dyDescent="0.2">
      <c r="E603" s="27"/>
    </row>
    <row r="604" spans="5:5" hidden="1" x14ac:dyDescent="0.2">
      <c r="E604" s="27"/>
    </row>
    <row r="605" spans="5:5" hidden="1" x14ac:dyDescent="0.2">
      <c r="E605" s="27"/>
    </row>
    <row r="606" spans="5:5" hidden="1" x14ac:dyDescent="0.2">
      <c r="E606" s="27"/>
    </row>
    <row r="607" spans="5:5" hidden="1" x14ac:dyDescent="0.2">
      <c r="E607" s="27"/>
    </row>
    <row r="608" spans="5:5" hidden="1" x14ac:dyDescent="0.2">
      <c r="E608" s="27"/>
    </row>
    <row r="609" spans="5:5" hidden="1" x14ac:dyDescent="0.2">
      <c r="E609" s="27"/>
    </row>
    <row r="610" spans="5:5" hidden="1" x14ac:dyDescent="0.2">
      <c r="E610" s="27"/>
    </row>
    <row r="611" spans="5:5" hidden="1" x14ac:dyDescent="0.2">
      <c r="E611" s="27"/>
    </row>
    <row r="612" spans="5:5" hidden="1" x14ac:dyDescent="0.2">
      <c r="E612" s="27"/>
    </row>
    <row r="613" spans="5:5" hidden="1" x14ac:dyDescent="0.2">
      <c r="E613" s="27"/>
    </row>
    <row r="614" spans="5:5" hidden="1" x14ac:dyDescent="0.2">
      <c r="E614" s="27"/>
    </row>
    <row r="615" spans="5:5" hidden="1" x14ac:dyDescent="0.2">
      <c r="E615" s="27"/>
    </row>
    <row r="616" spans="5:5" hidden="1" x14ac:dyDescent="0.2">
      <c r="E616" s="27"/>
    </row>
    <row r="617" spans="5:5" hidden="1" x14ac:dyDescent="0.2">
      <c r="E617" s="27"/>
    </row>
    <row r="618" spans="5:5" hidden="1" x14ac:dyDescent="0.2">
      <c r="E618" s="27"/>
    </row>
    <row r="619" spans="5:5" hidden="1" x14ac:dyDescent="0.2">
      <c r="E619" s="27"/>
    </row>
    <row r="620" spans="5:5" hidden="1" x14ac:dyDescent="0.2">
      <c r="E620" s="27"/>
    </row>
    <row r="621" spans="5:5" hidden="1" x14ac:dyDescent="0.2">
      <c r="E621" s="27"/>
    </row>
    <row r="622" spans="5:5" hidden="1" x14ac:dyDescent="0.2">
      <c r="E622" s="27"/>
    </row>
    <row r="623" spans="5:5" hidden="1" x14ac:dyDescent="0.2">
      <c r="E623" s="27"/>
    </row>
    <row r="624" spans="5:5" hidden="1" x14ac:dyDescent="0.2">
      <c r="E624" s="27"/>
    </row>
    <row r="625" spans="5:5" hidden="1" x14ac:dyDescent="0.2">
      <c r="E625" s="27"/>
    </row>
    <row r="626" spans="5:5" hidden="1" x14ac:dyDescent="0.2">
      <c r="E626" s="27"/>
    </row>
    <row r="627" spans="5:5" hidden="1" x14ac:dyDescent="0.2">
      <c r="E627" s="27"/>
    </row>
    <row r="628" spans="5:5" hidden="1" x14ac:dyDescent="0.2">
      <c r="E628" s="27"/>
    </row>
    <row r="629" spans="5:5" hidden="1" x14ac:dyDescent="0.2">
      <c r="E629" s="27"/>
    </row>
    <row r="630" spans="5:5" hidden="1" x14ac:dyDescent="0.2">
      <c r="E630" s="27"/>
    </row>
    <row r="631" spans="5:5" hidden="1" x14ac:dyDescent="0.2">
      <c r="E631" s="27"/>
    </row>
    <row r="632" spans="5:5" hidden="1" x14ac:dyDescent="0.2">
      <c r="E632" s="27"/>
    </row>
    <row r="633" spans="5:5" hidden="1" x14ac:dyDescent="0.2">
      <c r="E633" s="27"/>
    </row>
    <row r="634" spans="5:5" hidden="1" x14ac:dyDescent="0.2">
      <c r="E634" s="27"/>
    </row>
    <row r="635" spans="5:5" hidden="1" x14ac:dyDescent="0.2">
      <c r="E635" s="27"/>
    </row>
    <row r="636" spans="5:5" hidden="1" x14ac:dyDescent="0.2">
      <c r="E636" s="27"/>
    </row>
    <row r="637" spans="5:5" hidden="1" x14ac:dyDescent="0.2">
      <c r="E637" s="27"/>
    </row>
    <row r="638" spans="5:5" hidden="1" x14ac:dyDescent="0.2">
      <c r="E638" s="27"/>
    </row>
    <row r="639" spans="5:5" hidden="1" x14ac:dyDescent="0.2">
      <c r="E639" s="27"/>
    </row>
    <row r="640" spans="5:5" hidden="1" x14ac:dyDescent="0.2">
      <c r="E640" s="27"/>
    </row>
    <row r="641" spans="5:5" hidden="1" x14ac:dyDescent="0.2">
      <c r="E641" s="27"/>
    </row>
    <row r="642" spans="5:5" hidden="1" x14ac:dyDescent="0.2">
      <c r="E642" s="27"/>
    </row>
    <row r="643" spans="5:5" hidden="1" x14ac:dyDescent="0.2">
      <c r="E643" s="27"/>
    </row>
    <row r="644" spans="5:5" hidden="1" x14ac:dyDescent="0.2">
      <c r="E644" s="27"/>
    </row>
    <row r="645" spans="5:5" hidden="1" x14ac:dyDescent="0.2">
      <c r="E645" s="27"/>
    </row>
    <row r="646" spans="5:5" hidden="1" x14ac:dyDescent="0.2">
      <c r="E646" s="27"/>
    </row>
    <row r="647" spans="5:5" hidden="1" x14ac:dyDescent="0.2">
      <c r="E647" s="27"/>
    </row>
    <row r="648" spans="5:5" hidden="1" x14ac:dyDescent="0.2">
      <c r="E648" s="27"/>
    </row>
    <row r="649" spans="5:5" hidden="1" x14ac:dyDescent="0.2">
      <c r="E649" s="27"/>
    </row>
    <row r="650" spans="5:5" hidden="1" x14ac:dyDescent="0.2">
      <c r="E650" s="27"/>
    </row>
    <row r="651" spans="5:5" hidden="1" x14ac:dyDescent="0.2">
      <c r="E651" s="27"/>
    </row>
    <row r="652" spans="5:5" hidden="1" x14ac:dyDescent="0.2">
      <c r="E652" s="27"/>
    </row>
    <row r="653" spans="5:5" hidden="1" x14ac:dyDescent="0.2">
      <c r="E653" s="27"/>
    </row>
    <row r="654" spans="5:5" hidden="1" x14ac:dyDescent="0.2">
      <c r="E654" s="27"/>
    </row>
    <row r="655" spans="5:5" hidden="1" x14ac:dyDescent="0.2">
      <c r="E655" s="27"/>
    </row>
    <row r="656" spans="5:5" hidden="1" x14ac:dyDescent="0.2">
      <c r="E656" s="27"/>
    </row>
    <row r="657" spans="5:5" hidden="1" x14ac:dyDescent="0.2">
      <c r="E657" s="27"/>
    </row>
    <row r="658" spans="5:5" hidden="1" x14ac:dyDescent="0.2">
      <c r="E658" s="27"/>
    </row>
    <row r="659" spans="5:5" hidden="1" x14ac:dyDescent="0.2">
      <c r="E659" s="27"/>
    </row>
    <row r="660" spans="5:5" hidden="1" x14ac:dyDescent="0.2">
      <c r="E660" s="27"/>
    </row>
    <row r="661" spans="5:5" hidden="1" x14ac:dyDescent="0.2">
      <c r="E661" s="27"/>
    </row>
    <row r="662" spans="5:5" hidden="1" x14ac:dyDescent="0.2">
      <c r="E662" s="27"/>
    </row>
    <row r="663" spans="5:5" hidden="1" x14ac:dyDescent="0.2">
      <c r="E663" s="27"/>
    </row>
    <row r="664" spans="5:5" hidden="1" x14ac:dyDescent="0.2">
      <c r="E664" s="27"/>
    </row>
    <row r="665" spans="5:5" hidden="1" x14ac:dyDescent="0.2">
      <c r="E665" s="27"/>
    </row>
    <row r="666" spans="5:5" hidden="1" x14ac:dyDescent="0.2">
      <c r="E666" s="27"/>
    </row>
    <row r="667" spans="5:5" hidden="1" x14ac:dyDescent="0.2">
      <c r="E667" s="27"/>
    </row>
    <row r="668" spans="5:5" hidden="1" x14ac:dyDescent="0.2">
      <c r="E668" s="27"/>
    </row>
    <row r="669" spans="5:5" hidden="1" x14ac:dyDescent="0.2">
      <c r="E669" s="27"/>
    </row>
    <row r="670" spans="5:5" hidden="1" x14ac:dyDescent="0.2">
      <c r="E670" s="27"/>
    </row>
    <row r="671" spans="5:5" hidden="1" x14ac:dyDescent="0.2">
      <c r="E671" s="27"/>
    </row>
    <row r="672" spans="5:5" hidden="1" x14ac:dyDescent="0.2">
      <c r="E672" s="27"/>
    </row>
    <row r="673" spans="5:5" hidden="1" x14ac:dyDescent="0.2">
      <c r="E673" s="27"/>
    </row>
    <row r="674" spans="5:5" hidden="1" x14ac:dyDescent="0.2">
      <c r="E674" s="27"/>
    </row>
    <row r="675" spans="5:5" hidden="1" x14ac:dyDescent="0.2">
      <c r="E675" s="27"/>
    </row>
    <row r="676" spans="5:5" hidden="1" x14ac:dyDescent="0.2">
      <c r="E676" s="27"/>
    </row>
    <row r="677" spans="5:5" hidden="1" x14ac:dyDescent="0.2">
      <c r="E677" s="27"/>
    </row>
    <row r="678" spans="5:5" hidden="1" x14ac:dyDescent="0.2">
      <c r="E678" s="27"/>
    </row>
    <row r="679" spans="5:5" hidden="1" x14ac:dyDescent="0.2">
      <c r="E679" s="27"/>
    </row>
    <row r="680" spans="5:5" hidden="1" x14ac:dyDescent="0.2">
      <c r="E680" s="27"/>
    </row>
    <row r="681" spans="5:5" hidden="1" x14ac:dyDescent="0.2">
      <c r="E681" s="27"/>
    </row>
    <row r="682" spans="5:5" hidden="1" x14ac:dyDescent="0.2">
      <c r="E682" s="27"/>
    </row>
    <row r="683" spans="5:5" hidden="1" x14ac:dyDescent="0.2">
      <c r="E683" s="27"/>
    </row>
    <row r="684" spans="5:5" hidden="1" x14ac:dyDescent="0.2">
      <c r="E684" s="27"/>
    </row>
    <row r="685" spans="5:5" hidden="1" x14ac:dyDescent="0.2">
      <c r="E685" s="27"/>
    </row>
    <row r="686" spans="5:5" hidden="1" x14ac:dyDescent="0.2">
      <c r="E686" s="27"/>
    </row>
    <row r="687" spans="5:5" hidden="1" x14ac:dyDescent="0.2">
      <c r="E687" s="27"/>
    </row>
    <row r="688" spans="5:5" hidden="1" x14ac:dyDescent="0.2">
      <c r="E688" s="27"/>
    </row>
    <row r="689" spans="5:5" hidden="1" x14ac:dyDescent="0.2">
      <c r="E689" s="27"/>
    </row>
    <row r="690" spans="5:5" hidden="1" x14ac:dyDescent="0.2">
      <c r="E690" s="27"/>
    </row>
    <row r="691" spans="5:5" hidden="1" x14ac:dyDescent="0.2">
      <c r="E691" s="27"/>
    </row>
    <row r="692" spans="5:5" hidden="1" x14ac:dyDescent="0.2">
      <c r="E692" s="27"/>
    </row>
    <row r="693" spans="5:5" hidden="1" x14ac:dyDescent="0.2">
      <c r="E693" s="27"/>
    </row>
    <row r="694" spans="5:5" hidden="1" x14ac:dyDescent="0.2">
      <c r="E694" s="27"/>
    </row>
    <row r="695" spans="5:5" hidden="1" x14ac:dyDescent="0.2">
      <c r="E695" s="27"/>
    </row>
    <row r="696" spans="5:5" hidden="1" x14ac:dyDescent="0.2">
      <c r="E696" s="27"/>
    </row>
    <row r="697" spans="5:5" hidden="1" x14ac:dyDescent="0.2">
      <c r="E697" s="27"/>
    </row>
    <row r="698" spans="5:5" hidden="1" x14ac:dyDescent="0.2">
      <c r="E698" s="27"/>
    </row>
    <row r="699" spans="5:5" hidden="1" x14ac:dyDescent="0.2">
      <c r="E699" s="27"/>
    </row>
    <row r="700" spans="5:5" hidden="1" x14ac:dyDescent="0.2">
      <c r="E700" s="27"/>
    </row>
    <row r="701" spans="5:5" hidden="1" x14ac:dyDescent="0.2">
      <c r="E701" s="27"/>
    </row>
    <row r="702" spans="5:5" hidden="1" x14ac:dyDescent="0.2">
      <c r="E702" s="27"/>
    </row>
    <row r="703" spans="5:5" hidden="1" x14ac:dyDescent="0.2">
      <c r="E703" s="27"/>
    </row>
    <row r="704" spans="5:5" hidden="1" x14ac:dyDescent="0.2">
      <c r="E704" s="27"/>
    </row>
    <row r="705" spans="5:5" hidden="1" x14ac:dyDescent="0.2">
      <c r="E705" s="27"/>
    </row>
    <row r="706" spans="5:5" hidden="1" x14ac:dyDescent="0.2">
      <c r="E706" s="27"/>
    </row>
    <row r="707" spans="5:5" hidden="1" x14ac:dyDescent="0.2">
      <c r="E707" s="27"/>
    </row>
    <row r="708" spans="5:5" hidden="1" x14ac:dyDescent="0.2">
      <c r="E708" s="27"/>
    </row>
    <row r="709" spans="5:5" hidden="1" x14ac:dyDescent="0.2">
      <c r="E709" s="27"/>
    </row>
    <row r="710" spans="5:5" hidden="1" x14ac:dyDescent="0.2">
      <c r="E710" s="27"/>
    </row>
    <row r="711" spans="5:5" hidden="1" x14ac:dyDescent="0.2">
      <c r="E711" s="27"/>
    </row>
    <row r="712" spans="5:5" hidden="1" x14ac:dyDescent="0.2">
      <c r="E712" s="27"/>
    </row>
    <row r="713" spans="5:5" hidden="1" x14ac:dyDescent="0.2">
      <c r="E713" s="27"/>
    </row>
    <row r="714" spans="5:5" hidden="1" x14ac:dyDescent="0.2">
      <c r="E714" s="27"/>
    </row>
    <row r="715" spans="5:5" hidden="1" x14ac:dyDescent="0.2">
      <c r="E715" s="27"/>
    </row>
    <row r="716" spans="5:5" hidden="1" x14ac:dyDescent="0.2">
      <c r="E716" s="27"/>
    </row>
    <row r="717" spans="5:5" hidden="1" x14ac:dyDescent="0.2">
      <c r="E717" s="27"/>
    </row>
    <row r="718" spans="5:5" hidden="1" x14ac:dyDescent="0.2">
      <c r="E718" s="27"/>
    </row>
    <row r="719" spans="5:5" hidden="1" x14ac:dyDescent="0.2">
      <c r="E719" s="27"/>
    </row>
    <row r="720" spans="5:5" hidden="1" x14ac:dyDescent="0.2">
      <c r="E720" s="27"/>
    </row>
    <row r="721" spans="5:5" hidden="1" x14ac:dyDescent="0.2">
      <c r="E721" s="27"/>
    </row>
    <row r="722" spans="5:5" hidden="1" x14ac:dyDescent="0.2">
      <c r="E722" s="27"/>
    </row>
    <row r="723" spans="5:5" hidden="1" x14ac:dyDescent="0.2">
      <c r="E723" s="27"/>
    </row>
    <row r="724" spans="5:5" hidden="1" x14ac:dyDescent="0.2">
      <c r="E724" s="27"/>
    </row>
    <row r="725" spans="5:5" hidden="1" x14ac:dyDescent="0.2">
      <c r="E725" s="27"/>
    </row>
    <row r="726" spans="5:5" hidden="1" x14ac:dyDescent="0.2">
      <c r="E726" s="27"/>
    </row>
    <row r="727" spans="5:5" hidden="1" x14ac:dyDescent="0.2">
      <c r="E727" s="27"/>
    </row>
    <row r="728" spans="5:5" hidden="1" x14ac:dyDescent="0.2">
      <c r="E728" s="27"/>
    </row>
    <row r="729" spans="5:5" hidden="1" x14ac:dyDescent="0.2">
      <c r="E729" s="27"/>
    </row>
    <row r="730" spans="5:5" hidden="1" x14ac:dyDescent="0.2">
      <c r="E730" s="27"/>
    </row>
    <row r="731" spans="5:5" hidden="1" x14ac:dyDescent="0.2">
      <c r="E731" s="27"/>
    </row>
    <row r="732" spans="5:5" hidden="1" x14ac:dyDescent="0.2">
      <c r="E732" s="27"/>
    </row>
    <row r="733" spans="5:5" hidden="1" x14ac:dyDescent="0.2">
      <c r="E733" s="27"/>
    </row>
    <row r="734" spans="5:5" hidden="1" x14ac:dyDescent="0.2">
      <c r="E734" s="27"/>
    </row>
    <row r="735" spans="5:5" hidden="1" x14ac:dyDescent="0.2">
      <c r="E735" s="27"/>
    </row>
    <row r="736" spans="5:5" hidden="1" x14ac:dyDescent="0.2">
      <c r="E736" s="27"/>
    </row>
    <row r="737" spans="5:5" hidden="1" x14ac:dyDescent="0.2">
      <c r="E737" s="27"/>
    </row>
    <row r="738" spans="5:5" hidden="1" x14ac:dyDescent="0.2">
      <c r="E738" s="27"/>
    </row>
    <row r="739" spans="5:5" hidden="1" x14ac:dyDescent="0.2">
      <c r="E739" s="27"/>
    </row>
    <row r="740" spans="5:5" hidden="1" x14ac:dyDescent="0.2">
      <c r="E740" s="27"/>
    </row>
    <row r="741" spans="5:5" hidden="1" x14ac:dyDescent="0.2">
      <c r="E741" s="27"/>
    </row>
    <row r="742" spans="5:5" hidden="1" x14ac:dyDescent="0.2">
      <c r="E742" s="27"/>
    </row>
    <row r="743" spans="5:5" hidden="1" x14ac:dyDescent="0.2">
      <c r="E743" s="27"/>
    </row>
    <row r="744" spans="5:5" hidden="1" x14ac:dyDescent="0.2">
      <c r="E744" s="27"/>
    </row>
    <row r="745" spans="5:5" hidden="1" x14ac:dyDescent="0.2">
      <c r="E745" s="27"/>
    </row>
    <row r="746" spans="5:5" hidden="1" x14ac:dyDescent="0.2">
      <c r="E746" s="27"/>
    </row>
    <row r="747" spans="5:5" hidden="1" x14ac:dyDescent="0.2">
      <c r="E747" s="27"/>
    </row>
    <row r="748" spans="5:5" hidden="1" x14ac:dyDescent="0.2">
      <c r="E748" s="27"/>
    </row>
    <row r="749" spans="5:5" hidden="1" x14ac:dyDescent="0.2">
      <c r="E749" s="27"/>
    </row>
    <row r="750" spans="5:5" hidden="1" x14ac:dyDescent="0.2">
      <c r="E750" s="27"/>
    </row>
    <row r="751" spans="5:5" hidden="1" x14ac:dyDescent="0.2">
      <c r="E751" s="27"/>
    </row>
    <row r="752" spans="5:5" hidden="1" x14ac:dyDescent="0.2">
      <c r="E752" s="27"/>
    </row>
    <row r="753" spans="5:5" hidden="1" x14ac:dyDescent="0.2">
      <c r="E753" s="27"/>
    </row>
    <row r="754" spans="5:5" hidden="1" x14ac:dyDescent="0.2">
      <c r="E754" s="27"/>
    </row>
    <row r="755" spans="5:5" hidden="1" x14ac:dyDescent="0.2">
      <c r="E755" s="27"/>
    </row>
    <row r="756" spans="5:5" hidden="1" x14ac:dyDescent="0.2">
      <c r="E756" s="27"/>
    </row>
    <row r="757" spans="5:5" hidden="1" x14ac:dyDescent="0.2">
      <c r="E757" s="27"/>
    </row>
    <row r="758" spans="5:5" hidden="1" x14ac:dyDescent="0.2">
      <c r="E758" s="27"/>
    </row>
    <row r="759" spans="5:5" hidden="1" x14ac:dyDescent="0.2">
      <c r="E759" s="27"/>
    </row>
    <row r="760" spans="5:5" hidden="1" x14ac:dyDescent="0.2">
      <c r="E760" s="27"/>
    </row>
    <row r="761" spans="5:5" hidden="1" x14ac:dyDescent="0.2">
      <c r="E761" s="27"/>
    </row>
    <row r="762" spans="5:5" hidden="1" x14ac:dyDescent="0.2">
      <c r="E762" s="27"/>
    </row>
    <row r="763" spans="5:5" hidden="1" x14ac:dyDescent="0.2">
      <c r="E763" s="27"/>
    </row>
    <row r="764" spans="5:5" hidden="1" x14ac:dyDescent="0.2">
      <c r="E764" s="27"/>
    </row>
    <row r="765" spans="5:5" hidden="1" x14ac:dyDescent="0.2">
      <c r="E765" s="27"/>
    </row>
    <row r="766" spans="5:5" hidden="1" x14ac:dyDescent="0.2">
      <c r="E766" s="27"/>
    </row>
    <row r="767" spans="5:5" hidden="1" x14ac:dyDescent="0.2">
      <c r="E767" s="27"/>
    </row>
    <row r="768" spans="5:5" hidden="1" x14ac:dyDescent="0.2">
      <c r="E768" s="27"/>
    </row>
    <row r="769" spans="5:5" hidden="1" x14ac:dyDescent="0.2">
      <c r="E769" s="27"/>
    </row>
    <row r="770" spans="5:5" hidden="1" x14ac:dyDescent="0.2">
      <c r="E770" s="27"/>
    </row>
    <row r="771" spans="5:5" hidden="1" x14ac:dyDescent="0.2">
      <c r="E771" s="27"/>
    </row>
    <row r="772" spans="5:5" hidden="1" x14ac:dyDescent="0.2">
      <c r="E772" s="27"/>
    </row>
    <row r="773" spans="5:5" hidden="1" x14ac:dyDescent="0.2">
      <c r="E773" s="27"/>
    </row>
    <row r="774" spans="5:5" hidden="1" x14ac:dyDescent="0.2">
      <c r="E774" s="27"/>
    </row>
    <row r="775" spans="5:5" hidden="1" x14ac:dyDescent="0.2">
      <c r="E775" s="27"/>
    </row>
    <row r="776" spans="5:5" hidden="1" x14ac:dyDescent="0.2">
      <c r="E776" s="27"/>
    </row>
    <row r="777" spans="5:5" hidden="1" x14ac:dyDescent="0.2">
      <c r="E777" s="27"/>
    </row>
    <row r="778" spans="5:5" hidden="1" x14ac:dyDescent="0.2">
      <c r="E778" s="27"/>
    </row>
    <row r="779" spans="5:5" hidden="1" x14ac:dyDescent="0.2">
      <c r="E779" s="27"/>
    </row>
    <row r="780" spans="5:5" hidden="1" x14ac:dyDescent="0.2">
      <c r="E780" s="27"/>
    </row>
    <row r="781" spans="5:5" hidden="1" x14ac:dyDescent="0.2">
      <c r="E781" s="27"/>
    </row>
    <row r="782" spans="5:5" hidden="1" x14ac:dyDescent="0.2">
      <c r="E782" s="27"/>
    </row>
    <row r="783" spans="5:5" hidden="1" x14ac:dyDescent="0.2">
      <c r="E783" s="27"/>
    </row>
    <row r="784" spans="5:5" hidden="1" x14ac:dyDescent="0.2">
      <c r="E784" s="27"/>
    </row>
    <row r="785" spans="5:5" hidden="1" x14ac:dyDescent="0.2">
      <c r="E785" s="27"/>
    </row>
    <row r="786" spans="5:5" hidden="1" x14ac:dyDescent="0.2">
      <c r="E786" s="27"/>
    </row>
    <row r="787" spans="5:5" hidden="1" x14ac:dyDescent="0.2">
      <c r="E787" s="27"/>
    </row>
    <row r="788" spans="5:5" hidden="1" x14ac:dyDescent="0.2">
      <c r="E788" s="27"/>
    </row>
    <row r="789" spans="5:5" hidden="1" x14ac:dyDescent="0.2">
      <c r="E789" s="27"/>
    </row>
    <row r="790" spans="5:5" hidden="1" x14ac:dyDescent="0.2">
      <c r="E790" s="27"/>
    </row>
    <row r="791" spans="5:5" hidden="1" x14ac:dyDescent="0.2">
      <c r="E791" s="27"/>
    </row>
    <row r="792" spans="5:5" hidden="1" x14ac:dyDescent="0.2">
      <c r="E792" s="27"/>
    </row>
    <row r="793" spans="5:5" hidden="1" x14ac:dyDescent="0.2">
      <c r="E793" s="27"/>
    </row>
    <row r="794" spans="5:5" hidden="1" x14ac:dyDescent="0.2">
      <c r="E794" s="27"/>
    </row>
    <row r="795" spans="5:5" hidden="1" x14ac:dyDescent="0.2">
      <c r="E795" s="27"/>
    </row>
    <row r="796" spans="5:5" hidden="1" x14ac:dyDescent="0.2">
      <c r="E796" s="27"/>
    </row>
    <row r="797" spans="5:5" hidden="1" x14ac:dyDescent="0.2">
      <c r="E797" s="27"/>
    </row>
    <row r="798" spans="5:5" hidden="1" x14ac:dyDescent="0.2">
      <c r="E798" s="27"/>
    </row>
    <row r="799" spans="5:5" hidden="1" x14ac:dyDescent="0.2">
      <c r="E799" s="27"/>
    </row>
    <row r="800" spans="5:5" hidden="1" x14ac:dyDescent="0.2">
      <c r="E800" s="27"/>
    </row>
    <row r="801" spans="5:5" hidden="1" x14ac:dyDescent="0.2">
      <c r="E801" s="27"/>
    </row>
    <row r="802" spans="5:5" hidden="1" x14ac:dyDescent="0.2">
      <c r="E802" s="27"/>
    </row>
    <row r="803" spans="5:5" hidden="1" x14ac:dyDescent="0.2">
      <c r="E803" s="27"/>
    </row>
    <row r="804" spans="5:5" hidden="1" x14ac:dyDescent="0.2">
      <c r="E804" s="27"/>
    </row>
    <row r="805" spans="5:5" hidden="1" x14ac:dyDescent="0.2">
      <c r="E805" s="27"/>
    </row>
    <row r="806" spans="5:5" hidden="1" x14ac:dyDescent="0.2">
      <c r="E806" s="27"/>
    </row>
    <row r="807" spans="5:5" hidden="1" x14ac:dyDescent="0.2">
      <c r="E807" s="27"/>
    </row>
    <row r="808" spans="5:5" hidden="1" x14ac:dyDescent="0.2">
      <c r="E808" s="27"/>
    </row>
    <row r="809" spans="5:5" hidden="1" x14ac:dyDescent="0.2">
      <c r="E809" s="27"/>
    </row>
    <row r="810" spans="5:5" hidden="1" x14ac:dyDescent="0.2">
      <c r="E810" s="27"/>
    </row>
    <row r="811" spans="5:5" hidden="1" x14ac:dyDescent="0.2">
      <c r="E811" s="27"/>
    </row>
    <row r="812" spans="5:5" hidden="1" x14ac:dyDescent="0.2">
      <c r="E812" s="27"/>
    </row>
    <row r="813" spans="5:5" hidden="1" x14ac:dyDescent="0.2">
      <c r="E813" s="27"/>
    </row>
    <row r="814" spans="5:5" hidden="1" x14ac:dyDescent="0.2">
      <c r="E814" s="27"/>
    </row>
    <row r="815" spans="5:5" hidden="1" x14ac:dyDescent="0.2">
      <c r="E815" s="27"/>
    </row>
    <row r="816" spans="5:5" hidden="1" x14ac:dyDescent="0.2">
      <c r="E816" s="27"/>
    </row>
    <row r="817" spans="5:5" hidden="1" x14ac:dyDescent="0.2">
      <c r="E817" s="27"/>
    </row>
    <row r="818" spans="5:5" hidden="1" x14ac:dyDescent="0.2">
      <c r="E818" s="27"/>
    </row>
    <row r="819" spans="5:5" hidden="1" x14ac:dyDescent="0.2">
      <c r="E819" s="27"/>
    </row>
    <row r="820" spans="5:5" hidden="1" x14ac:dyDescent="0.2">
      <c r="E820" s="27"/>
    </row>
    <row r="821" spans="5:5" hidden="1" x14ac:dyDescent="0.2">
      <c r="E821" s="27"/>
    </row>
    <row r="822" spans="5:5" hidden="1" x14ac:dyDescent="0.2">
      <c r="E822" s="27"/>
    </row>
    <row r="823" spans="5:5" hidden="1" x14ac:dyDescent="0.2">
      <c r="E823" s="27"/>
    </row>
    <row r="824" spans="5:5" hidden="1" x14ac:dyDescent="0.2">
      <c r="E824" s="27"/>
    </row>
    <row r="825" spans="5:5" hidden="1" x14ac:dyDescent="0.2">
      <c r="E825" s="27"/>
    </row>
    <row r="826" spans="5:5" hidden="1" x14ac:dyDescent="0.2">
      <c r="E826" s="27"/>
    </row>
    <row r="827" spans="5:5" hidden="1" x14ac:dyDescent="0.2">
      <c r="E827" s="27"/>
    </row>
    <row r="828" spans="5:5" hidden="1" x14ac:dyDescent="0.2">
      <c r="E828" s="27"/>
    </row>
    <row r="829" spans="5:5" hidden="1" x14ac:dyDescent="0.2">
      <c r="E829" s="27"/>
    </row>
    <row r="830" spans="5:5" hidden="1" x14ac:dyDescent="0.2">
      <c r="E830" s="27"/>
    </row>
    <row r="831" spans="5:5" hidden="1" x14ac:dyDescent="0.2">
      <c r="E831" s="27"/>
    </row>
    <row r="832" spans="5:5" hidden="1" x14ac:dyDescent="0.2">
      <c r="E832" s="27"/>
    </row>
    <row r="833" spans="5:5" hidden="1" x14ac:dyDescent="0.2">
      <c r="E833" s="27"/>
    </row>
    <row r="834" spans="5:5" hidden="1" x14ac:dyDescent="0.2">
      <c r="E834" s="27"/>
    </row>
  </sheetData>
  <sheetProtection algorithmName="SHA-512" hashValue="frtochvTOmqcqhrIfbeoXrUR2yRPaPctxqVfDo5rN79DEbgvGPWwE/rNzd+10ZT3184xHMdF+bZhZOpgvQojxQ==" saltValue="/eXh1vYxKJ4X+rWwYmlsyQ==" spinCount="100000" sheet="1" objects="1" scenarios="1" selectLockedCells="1"/>
  <protectedRanges>
    <protectedRange algorithmName="SHA-512" hashValue="H5dKZBIjbmSwgJVuPiRct0mA+81IYKNs3cz4lzovDCyz0LgCxzYGTF274qUuRUKdOcbg4HCnMT4xG6FJVhdlog==" saltValue="q4Pm/dp8XFgNSZzTPoa9BQ==" spinCount="100000" sqref="E4:E7 D8 E19:E31 D18 E9:E17" name="Range2"/>
    <protectedRange algorithmName="SHA-512" hashValue="kbl/lAiQPlDSb2Z3JZLINs7BMFWPTJxR1QNeSCTLHSx73z27UTfrT9vsAz7v8Fbf4ZnRMuse3kT5htmjEr7R4Q==" saltValue="9++nINpoqZ7o1vW29m3l4w==" spinCount="100000" sqref="D57:D58 E2:E7 E50:E54 E57:E1048576 D8 E19:E36 D18 E9:E17" name="Range1"/>
  </protectedRanges>
  <dataConsolidate link="1"/>
  <mergeCells count="26">
    <mergeCell ref="G26:G30"/>
    <mergeCell ref="J26:J31"/>
    <mergeCell ref="H26:H31"/>
    <mergeCell ref="D17:E17"/>
    <mergeCell ref="C10:C16"/>
    <mergeCell ref="G19:G24"/>
    <mergeCell ref="J19:J25"/>
    <mergeCell ref="J4:J6"/>
    <mergeCell ref="H10:H16"/>
    <mergeCell ref="B7:E7"/>
    <mergeCell ref="B4:B6"/>
    <mergeCell ref="D8:E8"/>
    <mergeCell ref="B10:B16"/>
    <mergeCell ref="C9:D9"/>
    <mergeCell ref="C4:D4"/>
    <mergeCell ref="C5:D5"/>
    <mergeCell ref="J10:J16"/>
    <mergeCell ref="G10:G16"/>
    <mergeCell ref="B2:D2"/>
    <mergeCell ref="B3:E3"/>
    <mergeCell ref="B26:B31"/>
    <mergeCell ref="C19:C24"/>
    <mergeCell ref="B17:B18"/>
    <mergeCell ref="B8:B9"/>
    <mergeCell ref="C26:C30"/>
    <mergeCell ref="C18:D18"/>
  </mergeCells>
  <dataValidations count="3">
    <dataValidation type="list" allowBlank="1" showInputMessage="1" showErrorMessage="1" sqref="E10:E16 E19:E31 K19" xr:uid="{00000000-0002-0000-0300-000000000000}">
      <formula1>"Yes, No"</formula1>
    </dataValidation>
    <dataValidation type="list" allowBlank="1" showInputMessage="1" showErrorMessage="1" sqref="D17:E17" xr:uid="{BC170B0D-AA87-4E2D-AAE2-84725119FFBA}">
      <formula1>IF($E$18=0, M17, ArableOptions)</formula1>
    </dataValidation>
    <dataValidation type="list" allowBlank="1" prompt="Please select the most appropriate option from the list." sqref="D8:E8" xr:uid="{00000000-0002-0000-0300-000001000000}">
      <formula1>IF($E$9=0, $M$10, GrassOptions)</formula1>
    </dataValidation>
  </dataValidations>
  <pageMargins left="0.7" right="0.7" top="0.75" bottom="0.75" header="0.3" footer="0.3"/>
  <pageSetup orientation="landscape" horizontalDpi="90" verticalDpi="90" r:id="rId1"/>
  <ignoredErrors>
    <ignoredError sqref="E4:E5 E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7E5C5-CD09-4197-8FBA-A9AE128B6AFB}">
  <sheetPr>
    <tabColor theme="3" tint="0.59999389629810485"/>
  </sheetPr>
  <dimension ref="B1:AK35"/>
  <sheetViews>
    <sheetView showGridLines="0" showRowColHeaders="0" topLeftCell="B1" zoomScale="120" zoomScaleNormal="120" workbookViewId="0">
      <selection activeCell="E3" sqref="E3"/>
    </sheetView>
  </sheetViews>
  <sheetFormatPr defaultColWidth="10.28515625" defaultRowHeight="12.75" x14ac:dyDescent="0.2"/>
  <cols>
    <col min="1" max="1" width="0" hidden="1" customWidth="1"/>
    <col min="2" max="2" width="6.28515625" customWidth="1"/>
    <col min="3" max="3" width="39.140625" customWidth="1"/>
    <col min="4" max="4" width="45" customWidth="1"/>
    <col min="5" max="5" width="15.5703125" customWidth="1"/>
    <col min="6" max="8" width="0" hidden="1" customWidth="1"/>
    <col min="9" max="9" width="30.7109375" customWidth="1"/>
    <col min="10" max="10" width="20.42578125" customWidth="1"/>
    <col min="11" max="11" width="8.42578125" customWidth="1"/>
    <col min="16384" max="16384" width="6.7109375" customWidth="1"/>
  </cols>
  <sheetData>
    <row r="1" spans="2:30" s="10" customFormat="1" ht="30.75" customHeight="1" thickBot="1" x14ac:dyDescent="0.25">
      <c r="B1" s="26"/>
      <c r="C1" s="20"/>
      <c r="D1" s="20"/>
      <c r="E1" s="26"/>
      <c r="F1" s="27"/>
      <c r="G1" s="27"/>
      <c r="H1" s="59"/>
      <c r="J1" s="26"/>
      <c r="L1" s="15"/>
      <c r="M1" s="15"/>
      <c r="N1" s="15"/>
      <c r="O1" s="15"/>
      <c r="P1" s="15"/>
      <c r="Q1" s="15"/>
      <c r="R1" s="15"/>
      <c r="S1" s="15"/>
      <c r="T1" s="15"/>
      <c r="U1" s="15"/>
      <c r="V1" s="15"/>
      <c r="W1" s="15"/>
      <c r="X1" s="15"/>
      <c r="Y1" s="15"/>
      <c r="Z1" s="15"/>
      <c r="AA1" s="15"/>
      <c r="AB1" s="15"/>
      <c r="AC1" s="15"/>
      <c r="AD1" s="15"/>
    </row>
    <row r="2" spans="2:30" s="12" customFormat="1" ht="42.75" customHeight="1" thickBot="1" x14ac:dyDescent="0.25">
      <c r="B2" s="723" t="s">
        <v>0</v>
      </c>
      <c r="C2" s="724"/>
      <c r="D2" s="725"/>
      <c r="E2" s="28" t="s">
        <v>301</v>
      </c>
      <c r="F2" s="181" t="s">
        <v>42</v>
      </c>
      <c r="G2" s="182" t="s">
        <v>43</v>
      </c>
      <c r="H2" s="183" t="s">
        <v>44</v>
      </c>
      <c r="J2" s="21" t="s">
        <v>244</v>
      </c>
      <c r="L2" s="172"/>
      <c r="M2" s="172"/>
      <c r="N2" s="172"/>
      <c r="O2" s="172"/>
      <c r="P2" s="172"/>
      <c r="Q2" s="172"/>
      <c r="R2" s="172"/>
      <c r="S2" s="172"/>
      <c r="T2" s="172"/>
      <c r="U2" s="172"/>
      <c r="V2" s="172"/>
      <c r="W2" s="172"/>
      <c r="X2" s="172"/>
      <c r="Y2" s="172"/>
      <c r="Z2" s="172"/>
      <c r="AA2" s="172"/>
      <c r="AB2" s="172"/>
      <c r="AC2" s="172"/>
      <c r="AD2" s="173"/>
    </row>
    <row r="3" spans="2:30" s="10" customFormat="1" ht="41.25" customHeight="1" thickBot="1" x14ac:dyDescent="0.25">
      <c r="B3" s="519" t="s">
        <v>7</v>
      </c>
      <c r="C3" s="776" t="s">
        <v>281</v>
      </c>
      <c r="D3" s="777"/>
      <c r="E3" s="521"/>
      <c r="F3" s="184" t="s">
        <v>72</v>
      </c>
      <c r="G3" s="520"/>
      <c r="H3" s="118"/>
      <c r="J3" s="57" t="s">
        <v>11</v>
      </c>
      <c r="L3" s="15"/>
      <c r="M3" s="15"/>
      <c r="N3" s="15"/>
      <c r="O3" s="15"/>
      <c r="P3" s="15"/>
      <c r="Q3" s="15"/>
      <c r="R3" s="15"/>
      <c r="S3" s="15"/>
      <c r="T3" s="15"/>
      <c r="U3" s="15"/>
      <c r="V3" s="15"/>
      <c r="W3" s="15"/>
      <c r="X3" s="15"/>
      <c r="Y3" s="15"/>
      <c r="Z3" s="15"/>
      <c r="AA3" s="15"/>
      <c r="AB3" s="15"/>
      <c r="AC3" s="15"/>
      <c r="AD3" s="173"/>
    </row>
    <row r="4" spans="2:30" s="10" customFormat="1" ht="47.25" customHeight="1" x14ac:dyDescent="0.2">
      <c r="B4" s="782" t="s">
        <v>8</v>
      </c>
      <c r="C4" s="735" t="s">
        <v>185</v>
      </c>
      <c r="D4" s="53" t="s">
        <v>238</v>
      </c>
      <c r="E4" s="40"/>
      <c r="F4" s="185">
        <f t="shared" ref="F4:F11" si="0">IF(E4="Yes",10,0)</f>
        <v>0</v>
      </c>
      <c r="G4" s="769">
        <v>60</v>
      </c>
      <c r="H4" s="186"/>
      <c r="J4" s="749" t="s">
        <v>269</v>
      </c>
      <c r="L4" s="15"/>
      <c r="M4" s="15"/>
      <c r="N4" s="15"/>
      <c r="O4" s="15"/>
      <c r="P4" s="15"/>
      <c r="Q4" s="15"/>
      <c r="R4" s="15"/>
      <c r="S4" s="15"/>
      <c r="T4" s="15"/>
      <c r="U4" s="15"/>
      <c r="V4" s="15"/>
      <c r="W4" s="15"/>
      <c r="X4" s="15"/>
      <c r="Y4" s="15"/>
      <c r="Z4" s="15"/>
      <c r="AA4" s="15"/>
      <c r="AB4" s="15"/>
      <c r="AC4" s="15"/>
      <c r="AD4" s="15"/>
    </row>
    <row r="5" spans="2:30" s="10" customFormat="1" ht="47.25" customHeight="1" x14ac:dyDescent="0.2">
      <c r="B5" s="783"/>
      <c r="C5" s="733"/>
      <c r="D5" s="33" t="s">
        <v>239</v>
      </c>
      <c r="E5" s="34"/>
      <c r="F5" s="133">
        <f>IF(E5="No",10,0)</f>
        <v>0</v>
      </c>
      <c r="G5" s="770"/>
      <c r="H5" s="70"/>
      <c r="J5" s="749"/>
      <c r="L5" s="15"/>
      <c r="M5" s="15"/>
      <c r="N5" s="15"/>
      <c r="O5" s="15"/>
      <c r="P5" s="15"/>
      <c r="Q5" s="15"/>
      <c r="R5" s="15"/>
      <c r="S5" s="15"/>
      <c r="T5" s="15"/>
      <c r="U5" s="15"/>
      <c r="V5" s="15"/>
      <c r="W5" s="15"/>
      <c r="X5" s="15"/>
      <c r="Y5" s="15"/>
      <c r="Z5" s="15"/>
      <c r="AA5" s="15"/>
      <c r="AB5" s="15"/>
      <c r="AC5" s="15"/>
      <c r="AD5" s="15"/>
    </row>
    <row r="6" spans="2:30" s="10" customFormat="1" ht="47.25" customHeight="1" x14ac:dyDescent="0.2">
      <c r="B6" s="783"/>
      <c r="C6" s="733"/>
      <c r="D6" s="33" t="s">
        <v>110</v>
      </c>
      <c r="E6" s="34"/>
      <c r="F6" s="133">
        <f t="shared" si="0"/>
        <v>0</v>
      </c>
      <c r="G6" s="770"/>
      <c r="H6" s="70"/>
      <c r="J6" s="779" t="s">
        <v>423</v>
      </c>
      <c r="L6" s="15"/>
      <c r="M6" s="15"/>
      <c r="N6" s="15"/>
      <c r="O6" s="15"/>
      <c r="P6" s="15"/>
      <c r="Q6" s="15"/>
      <c r="R6" s="15"/>
      <c r="S6" s="15"/>
      <c r="T6" s="15"/>
      <c r="U6" s="15"/>
      <c r="V6" s="15"/>
      <c r="W6" s="15"/>
      <c r="X6" s="15"/>
      <c r="Y6" s="15"/>
      <c r="Z6" s="15"/>
      <c r="AA6" s="15"/>
      <c r="AB6" s="15"/>
      <c r="AC6" s="15"/>
      <c r="AD6" s="15"/>
    </row>
    <row r="7" spans="2:30" s="10" customFormat="1" ht="47.25" customHeight="1" x14ac:dyDescent="0.2">
      <c r="B7" s="783"/>
      <c r="C7" s="733"/>
      <c r="D7" s="54" t="s">
        <v>118</v>
      </c>
      <c r="E7" s="34"/>
      <c r="F7" s="133">
        <f t="shared" si="0"/>
        <v>0</v>
      </c>
      <c r="G7" s="770"/>
      <c r="H7" s="70"/>
      <c r="J7" s="780"/>
      <c r="L7" s="15"/>
      <c r="M7" s="15"/>
      <c r="N7" s="15"/>
      <c r="O7" s="15"/>
      <c r="P7" s="15"/>
      <c r="Q7" s="15"/>
      <c r="R7" s="15"/>
      <c r="S7" s="15"/>
      <c r="T7" s="15"/>
      <c r="U7" s="15"/>
      <c r="V7" s="15"/>
      <c r="W7" s="15"/>
      <c r="X7" s="15"/>
      <c r="Y7" s="15"/>
      <c r="Z7" s="15"/>
      <c r="AA7" s="15"/>
      <c r="AB7" s="15"/>
      <c r="AC7" s="15"/>
      <c r="AD7" s="15"/>
    </row>
    <row r="8" spans="2:30" s="10" customFormat="1" ht="71.25" customHeight="1" x14ac:dyDescent="0.2">
      <c r="B8" s="783"/>
      <c r="C8" s="733"/>
      <c r="D8" s="33" t="s">
        <v>314</v>
      </c>
      <c r="E8" s="34"/>
      <c r="F8" s="133">
        <f t="shared" si="0"/>
        <v>0</v>
      </c>
      <c r="G8" s="770"/>
      <c r="H8" s="70"/>
      <c r="J8" s="780"/>
      <c r="L8" s="15"/>
      <c r="M8" s="15"/>
      <c r="N8" s="15"/>
      <c r="O8" s="15"/>
      <c r="P8" s="15"/>
      <c r="Q8" s="15"/>
      <c r="R8" s="15"/>
      <c r="S8" s="15"/>
      <c r="T8" s="15"/>
      <c r="U8" s="15"/>
      <c r="V8" s="15"/>
      <c r="W8" s="15"/>
      <c r="X8" s="15"/>
      <c r="Y8" s="15"/>
      <c r="Z8" s="15"/>
      <c r="AA8" s="15"/>
      <c r="AB8" s="15"/>
      <c r="AC8" s="15"/>
      <c r="AD8" s="15"/>
    </row>
    <row r="9" spans="2:30" s="10" customFormat="1" ht="47.25" customHeight="1" x14ac:dyDescent="0.2">
      <c r="B9" s="783"/>
      <c r="C9" s="733"/>
      <c r="D9" s="33" t="s">
        <v>186</v>
      </c>
      <c r="E9" s="34"/>
      <c r="F9" s="133">
        <f t="shared" si="0"/>
        <v>0</v>
      </c>
      <c r="G9" s="771"/>
      <c r="H9" s="70"/>
      <c r="J9" s="780"/>
      <c r="L9" s="15"/>
      <c r="M9" s="15"/>
      <c r="N9" s="15"/>
      <c r="O9" s="15"/>
      <c r="P9" s="15"/>
      <c r="Q9" s="15"/>
      <c r="R9" s="15"/>
      <c r="S9" s="15"/>
      <c r="T9" s="15"/>
      <c r="U9" s="15"/>
      <c r="V9" s="15"/>
      <c r="W9" s="15"/>
      <c r="X9" s="15"/>
      <c r="Y9" s="15"/>
      <c r="Z9" s="15"/>
      <c r="AA9" s="15"/>
      <c r="AB9" s="15"/>
      <c r="AC9" s="15"/>
      <c r="AD9" s="15"/>
    </row>
    <row r="10" spans="2:30" s="10" customFormat="1" ht="39" customHeight="1" x14ac:dyDescent="0.2">
      <c r="B10" s="783"/>
      <c r="C10" s="778" t="s">
        <v>134</v>
      </c>
      <c r="D10" s="35"/>
      <c r="E10" s="34"/>
      <c r="F10" s="133">
        <f>IF(E10="Yes",10,0)</f>
        <v>0</v>
      </c>
      <c r="G10" s="774"/>
      <c r="H10" s="70"/>
      <c r="J10" s="780"/>
      <c r="L10" s="15"/>
      <c r="M10" s="15"/>
      <c r="N10" s="15"/>
      <c r="O10" s="15"/>
      <c r="P10" s="15"/>
      <c r="Q10" s="15"/>
      <c r="R10" s="15"/>
      <c r="S10" s="15"/>
      <c r="T10" s="15"/>
      <c r="U10" s="15"/>
      <c r="V10" s="15"/>
      <c r="W10" s="15"/>
      <c r="X10" s="15"/>
      <c r="Y10" s="15"/>
      <c r="Z10" s="15"/>
      <c r="AA10" s="15"/>
      <c r="AB10" s="15"/>
      <c r="AC10" s="15"/>
      <c r="AD10" s="15"/>
    </row>
    <row r="11" spans="2:30" s="10" customFormat="1" ht="36.75" customHeight="1" thickBot="1" x14ac:dyDescent="0.25">
      <c r="B11" s="784"/>
      <c r="C11" s="773"/>
      <c r="D11" s="38"/>
      <c r="E11" s="42"/>
      <c r="F11" s="187">
        <f t="shared" si="0"/>
        <v>0</v>
      </c>
      <c r="G11" s="775"/>
      <c r="H11" s="67"/>
      <c r="J11" s="781"/>
      <c r="L11" s="15"/>
      <c r="M11" s="15"/>
      <c r="N11" s="15"/>
      <c r="O11" s="15"/>
      <c r="P11" s="15"/>
      <c r="Q11" s="15"/>
      <c r="R11" s="15"/>
      <c r="S11" s="15"/>
      <c r="T11" s="15"/>
      <c r="U11" s="15"/>
      <c r="V11" s="15"/>
      <c r="W11" s="15"/>
      <c r="X11" s="15"/>
      <c r="Y11" s="15"/>
      <c r="Z11" s="15"/>
      <c r="AA11" s="15"/>
      <c r="AB11" s="15"/>
      <c r="AC11" s="15"/>
      <c r="AD11" s="15"/>
    </row>
    <row r="12" spans="2:30" s="10" customFormat="1" ht="33" customHeight="1" thickBot="1" x14ac:dyDescent="0.25">
      <c r="B12" s="188" t="s">
        <v>9</v>
      </c>
      <c r="C12" s="776" t="s">
        <v>10</v>
      </c>
      <c r="D12" s="777"/>
      <c r="E12" s="47"/>
      <c r="F12" s="189" t="s">
        <v>72</v>
      </c>
      <c r="G12" s="190"/>
      <c r="H12" s="191"/>
      <c r="J12" s="57" t="s">
        <v>11</v>
      </c>
      <c r="L12" s="15"/>
      <c r="M12" s="15"/>
      <c r="N12" s="15"/>
      <c r="O12" s="15"/>
      <c r="P12" s="15"/>
      <c r="Q12" s="15"/>
      <c r="R12" s="15"/>
      <c r="S12" s="15"/>
      <c r="T12" s="15"/>
      <c r="U12" s="15"/>
      <c r="V12" s="15"/>
      <c r="W12" s="15"/>
      <c r="X12" s="15"/>
      <c r="Y12" s="15"/>
      <c r="Z12" s="15"/>
      <c r="AA12" s="15"/>
      <c r="AB12" s="15"/>
      <c r="AC12" s="15"/>
      <c r="AD12" s="15"/>
    </row>
    <row r="13" spans="2:30" s="10" customFormat="1" ht="44.25" customHeight="1" x14ac:dyDescent="0.2">
      <c r="B13" s="729" t="s">
        <v>12</v>
      </c>
      <c r="C13" s="735" t="s">
        <v>198</v>
      </c>
      <c r="D13" s="53" t="s">
        <v>240</v>
      </c>
      <c r="E13" s="40"/>
      <c r="F13" s="185">
        <f>IF(E13="Yes",10,0)</f>
        <v>0</v>
      </c>
      <c r="G13" s="769">
        <v>50</v>
      </c>
      <c r="H13" s="186"/>
      <c r="I13" s="16"/>
      <c r="J13" s="749" t="s">
        <v>422</v>
      </c>
      <c r="L13" s="15"/>
      <c r="M13" s="15"/>
      <c r="N13" s="15"/>
      <c r="O13" s="15"/>
      <c r="P13" s="15"/>
      <c r="Q13" s="15"/>
      <c r="R13" s="15"/>
      <c r="S13" s="15"/>
      <c r="T13" s="15"/>
      <c r="U13" s="15"/>
      <c r="V13" s="15"/>
      <c r="W13" s="15"/>
      <c r="X13" s="15"/>
      <c r="Y13" s="15"/>
      <c r="Z13" s="15"/>
      <c r="AA13" s="15"/>
      <c r="AB13" s="15"/>
      <c r="AC13" s="15"/>
      <c r="AD13" s="15"/>
    </row>
    <row r="14" spans="2:30" s="10" customFormat="1" ht="33" customHeight="1" x14ac:dyDescent="0.2">
      <c r="B14" s="730"/>
      <c r="C14" s="733"/>
      <c r="D14" s="33" t="s">
        <v>187</v>
      </c>
      <c r="E14" s="34"/>
      <c r="F14" s="133">
        <f t="shared" ref="F14:F19" si="1">IF(E14="Yes",10,0)</f>
        <v>0</v>
      </c>
      <c r="G14" s="770"/>
      <c r="H14" s="70"/>
      <c r="J14" s="749"/>
      <c r="L14" s="15"/>
      <c r="M14" s="15"/>
      <c r="N14" s="15"/>
      <c r="O14" s="15"/>
      <c r="P14" s="15"/>
      <c r="Q14" s="15"/>
      <c r="R14" s="15"/>
      <c r="S14" s="15"/>
      <c r="T14" s="15"/>
      <c r="U14" s="15"/>
      <c r="V14" s="15"/>
      <c r="W14" s="15"/>
      <c r="X14" s="15"/>
      <c r="Y14" s="15"/>
      <c r="Z14" s="15"/>
      <c r="AA14" s="15"/>
      <c r="AB14" s="15"/>
      <c r="AC14" s="15"/>
      <c r="AD14" s="15"/>
    </row>
    <row r="15" spans="2:30" s="10" customFormat="1" ht="33" customHeight="1" x14ac:dyDescent="0.2">
      <c r="B15" s="730"/>
      <c r="C15" s="733"/>
      <c r="D15" s="33" t="s">
        <v>188</v>
      </c>
      <c r="E15" s="34"/>
      <c r="F15" s="133">
        <f t="shared" si="1"/>
        <v>0</v>
      </c>
      <c r="G15" s="770"/>
      <c r="H15" s="70"/>
      <c r="J15" s="749"/>
      <c r="L15" s="15"/>
      <c r="M15" s="15"/>
      <c r="N15" s="15"/>
      <c r="O15" s="15"/>
      <c r="P15" s="15"/>
      <c r="Q15" s="15"/>
      <c r="R15" s="15"/>
      <c r="S15" s="15"/>
      <c r="T15" s="15"/>
      <c r="U15" s="15"/>
      <c r="V15" s="15"/>
      <c r="W15" s="15"/>
      <c r="X15" s="15"/>
      <c r="Y15" s="15"/>
      <c r="Z15" s="15"/>
      <c r="AA15" s="15"/>
      <c r="AB15" s="15"/>
      <c r="AC15" s="15"/>
      <c r="AD15" s="15"/>
    </row>
    <row r="16" spans="2:30" s="10" customFormat="1" ht="33" customHeight="1" x14ac:dyDescent="0.2">
      <c r="B16" s="730"/>
      <c r="C16" s="733"/>
      <c r="D16" s="33" t="s">
        <v>189</v>
      </c>
      <c r="E16" s="34"/>
      <c r="F16" s="133">
        <f t="shared" si="1"/>
        <v>0</v>
      </c>
      <c r="G16" s="770"/>
      <c r="H16" s="70"/>
      <c r="J16" s="749"/>
      <c r="L16" s="15"/>
      <c r="M16" s="15"/>
      <c r="N16" s="15"/>
      <c r="O16" s="15"/>
      <c r="P16" s="15"/>
      <c r="Q16" s="15"/>
      <c r="R16" s="15"/>
      <c r="S16" s="15"/>
      <c r="T16" s="15"/>
      <c r="U16" s="15"/>
      <c r="V16" s="15"/>
      <c r="W16" s="15"/>
      <c r="X16" s="15"/>
      <c r="Y16" s="15"/>
      <c r="Z16" s="15"/>
      <c r="AA16" s="15"/>
      <c r="AB16" s="15"/>
      <c r="AC16" s="15"/>
      <c r="AD16" s="15"/>
    </row>
    <row r="17" spans="2:37" s="10" customFormat="1" ht="33" customHeight="1" x14ac:dyDescent="0.2">
      <c r="B17" s="730"/>
      <c r="C17" s="733"/>
      <c r="D17" s="33" t="s">
        <v>190</v>
      </c>
      <c r="E17" s="34"/>
      <c r="F17" s="133">
        <f t="shared" si="1"/>
        <v>0</v>
      </c>
      <c r="G17" s="771"/>
      <c r="H17" s="70"/>
      <c r="J17" s="749"/>
      <c r="L17" s="15"/>
      <c r="M17" s="15"/>
      <c r="N17" s="15"/>
      <c r="O17" s="15"/>
      <c r="P17" s="15"/>
      <c r="Q17" s="15"/>
      <c r="R17" s="15"/>
      <c r="S17" s="15"/>
      <c r="T17" s="15"/>
      <c r="U17" s="15"/>
      <c r="V17" s="15"/>
      <c r="W17" s="15"/>
      <c r="X17" s="15"/>
      <c r="Y17" s="15"/>
      <c r="Z17" s="15"/>
      <c r="AA17" s="15"/>
      <c r="AB17" s="15"/>
      <c r="AC17" s="15"/>
      <c r="AD17" s="15"/>
    </row>
    <row r="18" spans="2:37" s="10" customFormat="1" ht="33" customHeight="1" x14ac:dyDescent="0.2">
      <c r="B18" s="730"/>
      <c r="C18" s="778" t="s">
        <v>134</v>
      </c>
      <c r="D18" s="35"/>
      <c r="E18" s="34"/>
      <c r="F18" s="133">
        <f>IF(E18="Yes",10,0)</f>
        <v>0</v>
      </c>
      <c r="G18" s="774"/>
      <c r="H18" s="70"/>
      <c r="J18" s="749"/>
      <c r="L18" s="487" t="s">
        <v>406</v>
      </c>
      <c r="M18" s="487">
        <v>130</v>
      </c>
      <c r="N18" s="15"/>
      <c r="O18" s="15"/>
      <c r="P18" s="15"/>
      <c r="Q18" s="15"/>
      <c r="R18" s="15"/>
      <c r="S18" s="15"/>
      <c r="T18" s="15"/>
      <c r="U18" s="15"/>
      <c r="V18" s="15"/>
      <c r="W18" s="15"/>
      <c r="X18" s="15"/>
      <c r="Y18" s="15"/>
      <c r="Z18" s="15"/>
      <c r="AA18" s="15"/>
      <c r="AB18" s="15"/>
      <c r="AC18" s="15"/>
      <c r="AD18" s="15"/>
    </row>
    <row r="19" spans="2:37" s="10" customFormat="1" ht="33" customHeight="1" thickBot="1" x14ac:dyDescent="0.25">
      <c r="B19" s="731"/>
      <c r="C19" s="773"/>
      <c r="D19" s="48"/>
      <c r="E19" s="34"/>
      <c r="F19" s="187">
        <f t="shared" si="1"/>
        <v>0</v>
      </c>
      <c r="G19" s="775"/>
      <c r="H19" s="67"/>
      <c r="J19" s="749"/>
      <c r="L19" s="487" t="s">
        <v>407</v>
      </c>
      <c r="M19" s="487">
        <v>80</v>
      </c>
      <c r="N19" s="15"/>
      <c r="O19" s="15"/>
      <c r="P19" s="15"/>
      <c r="Q19" s="15"/>
      <c r="R19" s="15"/>
      <c r="S19" s="15"/>
      <c r="T19" s="15"/>
      <c r="U19" s="15"/>
      <c r="V19" s="15"/>
      <c r="W19" s="15"/>
      <c r="X19" s="15"/>
      <c r="Y19" s="15"/>
      <c r="Z19" s="15"/>
      <c r="AA19" s="15"/>
      <c r="AB19" s="15"/>
      <c r="AC19" s="15"/>
      <c r="AD19" s="15"/>
    </row>
    <row r="20" spans="2:37" s="10" customFormat="1" ht="55.5" customHeight="1" thickBot="1" x14ac:dyDescent="0.25">
      <c r="B20" s="165" t="s">
        <v>13</v>
      </c>
      <c r="C20" s="766" t="s">
        <v>402</v>
      </c>
      <c r="D20" s="767"/>
      <c r="E20" s="49"/>
      <c r="F20" s="185">
        <f>IFERROR(VLOOKUP(E20,$L$18:$M$20,2,0),0)</f>
        <v>0</v>
      </c>
      <c r="G20" s="124">
        <v>130</v>
      </c>
      <c r="H20" s="186"/>
      <c r="J20" s="164" t="s">
        <v>424</v>
      </c>
      <c r="L20" s="487" t="s">
        <v>6</v>
      </c>
      <c r="M20" s="487">
        <v>0</v>
      </c>
      <c r="N20" s="15"/>
      <c r="O20" s="15"/>
      <c r="P20" s="15"/>
      <c r="Q20" s="15"/>
      <c r="R20" s="15"/>
      <c r="S20" s="15"/>
      <c r="T20" s="15"/>
      <c r="U20" s="15"/>
      <c r="V20" s="15"/>
      <c r="W20" s="15"/>
      <c r="X20" s="15"/>
      <c r="Y20" s="15"/>
      <c r="Z20" s="15"/>
      <c r="AA20" s="15"/>
      <c r="AB20" s="15"/>
      <c r="AC20" s="15"/>
      <c r="AD20" s="476"/>
      <c r="AE20" s="16"/>
      <c r="AF20" s="16"/>
      <c r="AG20" s="16"/>
    </row>
    <row r="21" spans="2:37" s="10" customFormat="1" ht="42" customHeight="1" thickBot="1" x14ac:dyDescent="0.25">
      <c r="B21" s="194" t="s">
        <v>15</v>
      </c>
      <c r="C21" s="195" t="s">
        <v>108</v>
      </c>
      <c r="D21" s="764"/>
      <c r="E21" s="765"/>
      <c r="F21" s="196">
        <f>IFERROR(VLOOKUP(D21,#REF!, 2, 0), 0)</f>
        <v>0</v>
      </c>
      <c r="G21" s="520">
        <v>100</v>
      </c>
      <c r="H21" s="118"/>
      <c r="I21" s="18"/>
      <c r="J21" s="197"/>
      <c r="K21" s="18"/>
      <c r="L21" s="15"/>
      <c r="M21" s="15"/>
      <c r="N21" s="15"/>
      <c r="O21" s="15"/>
      <c r="P21" s="15"/>
      <c r="Q21" s="15"/>
      <c r="R21" s="15"/>
      <c r="S21" s="15"/>
      <c r="T21" s="15"/>
      <c r="U21" s="15"/>
      <c r="V21" s="15"/>
      <c r="W21" s="15"/>
      <c r="X21" s="15"/>
      <c r="Y21" s="15"/>
      <c r="Z21" s="15"/>
      <c r="AA21" s="15"/>
      <c r="AB21" s="15"/>
      <c r="AC21" s="15"/>
      <c r="AD21" s="15"/>
    </row>
    <row r="22" spans="2:37" s="10" customFormat="1" ht="35.25" customHeight="1" x14ac:dyDescent="0.2">
      <c r="B22" s="729" t="s">
        <v>16</v>
      </c>
      <c r="C22" s="735" t="s">
        <v>275</v>
      </c>
      <c r="D22" s="53" t="s">
        <v>19</v>
      </c>
      <c r="E22" s="40"/>
      <c r="F22" s="185">
        <f t="shared" ref="F22:F31" si="2">IFERROR(VLOOKUP(E22,$M$22:$N$27,2,0),0)</f>
        <v>0</v>
      </c>
      <c r="G22" s="769">
        <v>320</v>
      </c>
      <c r="H22" s="186"/>
      <c r="J22" s="738" t="s">
        <v>127</v>
      </c>
      <c r="L22" s="15"/>
      <c r="M22" s="230" t="s">
        <v>47</v>
      </c>
      <c r="N22" s="230">
        <v>0</v>
      </c>
      <c r="O22" s="15"/>
      <c r="P22" s="15"/>
      <c r="Q22" s="15"/>
      <c r="R22" s="15"/>
      <c r="S22" s="15"/>
      <c r="T22" s="15"/>
      <c r="U22" s="15"/>
      <c r="V22" s="15"/>
      <c r="W22" s="15"/>
      <c r="X22" s="15"/>
      <c r="Y22" s="15"/>
      <c r="Z22" s="15"/>
      <c r="AA22" s="15"/>
      <c r="AB22" s="15"/>
      <c r="AC22" s="15"/>
      <c r="AD22" s="15"/>
    </row>
    <row r="23" spans="2:37" s="10" customFormat="1" ht="35.25" customHeight="1" x14ac:dyDescent="0.2">
      <c r="B23" s="730"/>
      <c r="C23" s="733"/>
      <c r="D23" s="33" t="s">
        <v>128</v>
      </c>
      <c r="E23" s="34"/>
      <c r="F23" s="133">
        <f t="shared" si="2"/>
        <v>0</v>
      </c>
      <c r="G23" s="770"/>
      <c r="H23" s="70"/>
      <c r="I23" s="18"/>
      <c r="J23" s="739"/>
      <c r="K23" s="18"/>
      <c r="L23" s="15"/>
      <c r="M23" s="230" t="s">
        <v>70</v>
      </c>
      <c r="N23" s="230">
        <v>5</v>
      </c>
      <c r="O23" s="15"/>
      <c r="P23" s="15"/>
      <c r="Q23" s="15"/>
      <c r="R23" s="15"/>
      <c r="S23" s="15"/>
      <c r="T23" s="15"/>
      <c r="U23" s="15"/>
      <c r="V23" s="15"/>
      <c r="W23" s="15"/>
      <c r="X23" s="15"/>
      <c r="Y23" s="15"/>
      <c r="Z23" s="15"/>
      <c r="AA23" s="15"/>
      <c r="AB23" s="15"/>
      <c r="AC23" s="15"/>
      <c r="AD23" s="15"/>
    </row>
    <row r="24" spans="2:37" s="10" customFormat="1" ht="36" customHeight="1" x14ac:dyDescent="0.2">
      <c r="B24" s="730"/>
      <c r="C24" s="733"/>
      <c r="D24" s="33" t="s">
        <v>17</v>
      </c>
      <c r="E24" s="34"/>
      <c r="F24" s="133">
        <f t="shared" si="2"/>
        <v>0</v>
      </c>
      <c r="G24" s="770"/>
      <c r="H24" s="70"/>
      <c r="I24" s="18"/>
      <c r="J24" s="739"/>
      <c r="K24" s="18"/>
      <c r="L24" s="15"/>
      <c r="M24" s="230" t="s">
        <v>71</v>
      </c>
      <c r="N24" s="230">
        <v>10</v>
      </c>
      <c r="O24" s="15"/>
      <c r="P24" s="15"/>
      <c r="Q24" s="15"/>
      <c r="R24" s="15"/>
      <c r="S24" s="15"/>
      <c r="T24" s="15"/>
      <c r="U24" s="15"/>
      <c r="V24" s="15"/>
      <c r="W24" s="15"/>
      <c r="X24" s="15"/>
      <c r="Y24" s="15"/>
      <c r="Z24" s="15"/>
      <c r="AA24" s="15"/>
      <c r="AB24" s="15"/>
      <c r="AC24" s="15"/>
      <c r="AD24" s="15"/>
    </row>
    <row r="25" spans="2:37" s="10" customFormat="1" ht="52.5" customHeight="1" x14ac:dyDescent="0.2">
      <c r="B25" s="730"/>
      <c r="C25" s="733"/>
      <c r="D25" s="33" t="s">
        <v>23</v>
      </c>
      <c r="E25" s="34"/>
      <c r="F25" s="133">
        <f t="shared" si="2"/>
        <v>0</v>
      </c>
      <c r="G25" s="770"/>
      <c r="H25" s="70"/>
      <c r="J25" s="739"/>
      <c r="L25" s="15"/>
      <c r="M25" s="230" t="s">
        <v>48</v>
      </c>
      <c r="N25" s="230">
        <v>25</v>
      </c>
      <c r="O25" s="15"/>
      <c r="P25" s="15"/>
      <c r="Q25" s="15"/>
      <c r="R25" s="15"/>
      <c r="S25" s="15"/>
      <c r="T25" s="15"/>
      <c r="U25" s="15"/>
      <c r="V25" s="15"/>
      <c r="W25" s="15"/>
      <c r="X25" s="15"/>
      <c r="Y25" s="15"/>
      <c r="Z25" s="15"/>
      <c r="AA25" s="15"/>
      <c r="AB25" s="15"/>
      <c r="AC25" s="15"/>
      <c r="AD25" s="15"/>
    </row>
    <row r="26" spans="2:37" s="10" customFormat="1" ht="35.25" customHeight="1" x14ac:dyDescent="0.2">
      <c r="B26" s="730"/>
      <c r="C26" s="733"/>
      <c r="D26" s="33" t="s">
        <v>276</v>
      </c>
      <c r="E26" s="34"/>
      <c r="F26" s="133">
        <f t="shared" si="2"/>
        <v>0</v>
      </c>
      <c r="G26" s="770"/>
      <c r="H26" s="70"/>
      <c r="J26" s="739"/>
      <c r="L26" s="15"/>
      <c r="M26" s="230" t="s">
        <v>49</v>
      </c>
      <c r="N26" s="230">
        <v>40</v>
      </c>
      <c r="O26" s="15"/>
      <c r="P26" s="15"/>
      <c r="Q26" s="15"/>
      <c r="R26" s="15"/>
      <c r="S26" s="15"/>
      <c r="T26" s="15"/>
      <c r="U26" s="15"/>
      <c r="V26" s="15"/>
      <c r="W26" s="15"/>
      <c r="X26" s="15"/>
      <c r="Y26" s="15"/>
      <c r="Z26" s="15"/>
      <c r="AA26" s="15"/>
      <c r="AB26" s="15"/>
      <c r="AC26" s="15"/>
      <c r="AD26" s="15"/>
    </row>
    <row r="27" spans="2:37" s="10" customFormat="1" ht="35.25" customHeight="1" x14ac:dyDescent="0.2">
      <c r="B27" s="730"/>
      <c r="C27" s="733"/>
      <c r="D27" s="33" t="s">
        <v>18</v>
      </c>
      <c r="E27" s="34"/>
      <c r="F27" s="133">
        <f t="shared" si="2"/>
        <v>0</v>
      </c>
      <c r="G27" s="770"/>
      <c r="H27" s="70"/>
      <c r="J27" s="739"/>
      <c r="L27" s="15"/>
      <c r="M27" s="230" t="s">
        <v>92</v>
      </c>
      <c r="N27" s="230">
        <v>0</v>
      </c>
      <c r="O27" s="15"/>
      <c r="P27" s="15"/>
      <c r="Q27" s="15"/>
      <c r="R27" s="15"/>
      <c r="S27" s="15"/>
      <c r="T27" s="15"/>
      <c r="U27" s="15"/>
      <c r="V27" s="15"/>
      <c r="W27" s="15"/>
      <c r="X27" s="15"/>
      <c r="Y27" s="15"/>
      <c r="Z27" s="15"/>
      <c r="AA27" s="15"/>
      <c r="AB27" s="15"/>
      <c r="AC27" s="15"/>
      <c r="AD27" s="15"/>
    </row>
    <row r="28" spans="2:37" s="10" customFormat="1" ht="35.25" customHeight="1" x14ac:dyDescent="0.2">
      <c r="B28" s="730"/>
      <c r="C28" s="733"/>
      <c r="D28" s="33" t="s">
        <v>277</v>
      </c>
      <c r="E28" s="34"/>
      <c r="F28" s="133">
        <f t="shared" si="2"/>
        <v>0</v>
      </c>
      <c r="G28" s="770"/>
      <c r="H28" s="70"/>
      <c r="J28" s="739"/>
      <c r="L28" s="15"/>
      <c r="M28" s="15"/>
      <c r="N28" s="15"/>
      <c r="O28" s="15"/>
      <c r="P28" s="15"/>
      <c r="Q28" s="15"/>
      <c r="R28" s="15"/>
      <c r="S28" s="15"/>
      <c r="T28" s="15"/>
      <c r="U28" s="15"/>
      <c r="V28" s="15"/>
      <c r="W28" s="15"/>
      <c r="X28" s="15"/>
      <c r="Y28" s="15"/>
      <c r="Z28" s="15"/>
      <c r="AA28" s="15"/>
      <c r="AB28" s="15"/>
      <c r="AC28" s="15"/>
      <c r="AD28" s="15"/>
    </row>
    <row r="29" spans="2:37" s="10" customFormat="1" ht="35.25" customHeight="1" x14ac:dyDescent="0.2">
      <c r="B29" s="730"/>
      <c r="C29" s="768"/>
      <c r="D29" s="33" t="s">
        <v>76</v>
      </c>
      <c r="E29" s="34"/>
      <c r="F29" s="133">
        <f t="shared" si="2"/>
        <v>0</v>
      </c>
      <c r="G29" s="771"/>
      <c r="H29" s="70"/>
      <c r="J29" s="739"/>
      <c r="L29" s="15"/>
      <c r="M29" s="15"/>
      <c r="N29" s="15"/>
      <c r="O29" s="15"/>
      <c r="P29" s="15"/>
      <c r="Q29" s="15"/>
      <c r="R29" s="15"/>
      <c r="S29" s="15"/>
      <c r="T29" s="15"/>
      <c r="U29" s="15"/>
      <c r="V29" s="15"/>
      <c r="W29" s="15"/>
      <c r="X29" s="15"/>
      <c r="Y29" s="15"/>
      <c r="Z29" s="15"/>
      <c r="AA29" s="15"/>
      <c r="AB29" s="15"/>
      <c r="AC29" s="15"/>
      <c r="AD29" s="15"/>
    </row>
    <row r="30" spans="2:37" s="10" customFormat="1" ht="35.25" customHeight="1" x14ac:dyDescent="0.2">
      <c r="B30" s="730"/>
      <c r="C30" s="772" t="s">
        <v>133</v>
      </c>
      <c r="D30" s="35"/>
      <c r="E30" s="34"/>
      <c r="F30" s="133">
        <f t="shared" si="2"/>
        <v>0</v>
      </c>
      <c r="G30" s="774"/>
      <c r="H30" s="70"/>
      <c r="J30" s="740"/>
      <c r="L30" s="15"/>
      <c r="M30" s="15"/>
      <c r="N30" s="15"/>
      <c r="O30" s="15"/>
      <c r="P30" s="15"/>
      <c r="Q30" s="15"/>
      <c r="R30" s="15"/>
      <c r="S30" s="15"/>
      <c r="T30" s="15"/>
      <c r="U30" s="15"/>
      <c r="V30" s="15"/>
      <c r="W30" s="15"/>
      <c r="X30" s="15"/>
      <c r="Y30" s="15"/>
      <c r="Z30" s="15"/>
      <c r="AA30" s="15"/>
      <c r="AB30" s="15"/>
      <c r="AC30" s="15"/>
      <c r="AD30" s="15"/>
    </row>
    <row r="31" spans="2:37" s="10" customFormat="1" ht="35.25" customHeight="1" thickBot="1" x14ac:dyDescent="0.25">
      <c r="B31" s="731"/>
      <c r="C31" s="773"/>
      <c r="D31" s="38"/>
      <c r="E31" s="50"/>
      <c r="F31" s="134">
        <f t="shared" si="2"/>
        <v>0</v>
      </c>
      <c r="G31" s="775"/>
      <c r="H31" s="73"/>
      <c r="J31" s="738" t="s">
        <v>425</v>
      </c>
      <c r="L31" s="15"/>
      <c r="M31" s="15"/>
      <c r="N31" s="15"/>
      <c r="O31" s="15"/>
      <c r="P31" s="15"/>
      <c r="Q31" s="15"/>
      <c r="R31" s="15"/>
      <c r="S31" s="15"/>
      <c r="T31" s="15"/>
      <c r="U31" s="15"/>
      <c r="V31" s="15"/>
      <c r="W31" s="15"/>
      <c r="X31" s="15"/>
      <c r="Y31" s="15"/>
      <c r="Z31" s="15"/>
      <c r="AA31" s="15"/>
      <c r="AB31" s="15"/>
      <c r="AC31" s="15"/>
      <c r="AD31" s="15"/>
    </row>
    <row r="32" spans="2:37" s="10" customFormat="1" ht="72.75" customHeight="1" thickBot="1" x14ac:dyDescent="0.25">
      <c r="B32" s="194" t="s">
        <v>20</v>
      </c>
      <c r="C32" s="195" t="s">
        <v>21</v>
      </c>
      <c r="D32" s="764"/>
      <c r="E32" s="765"/>
      <c r="F32" s="192" t="s">
        <v>72</v>
      </c>
      <c r="G32" s="193"/>
      <c r="H32" s="119"/>
      <c r="J32" s="740"/>
      <c r="L32" s="15"/>
      <c r="M32" s="230" t="s">
        <v>218</v>
      </c>
      <c r="N32" s="237">
        <v>20</v>
      </c>
      <c r="O32" s="15"/>
      <c r="P32" s="15"/>
      <c r="Q32" s="15"/>
      <c r="R32" s="15"/>
      <c r="S32" s="15"/>
      <c r="T32" s="15"/>
      <c r="U32" s="15"/>
      <c r="V32" s="15"/>
      <c r="W32" s="15"/>
      <c r="X32" s="15"/>
      <c r="Y32" s="15"/>
      <c r="Z32" s="15"/>
      <c r="AA32" s="15"/>
      <c r="AB32" s="15"/>
      <c r="AC32" s="15"/>
      <c r="AD32" s="476"/>
      <c r="AE32" s="16"/>
      <c r="AF32" s="16"/>
      <c r="AG32" s="16"/>
      <c r="AH32" s="16"/>
      <c r="AI32" s="16"/>
      <c r="AJ32" s="16"/>
      <c r="AK32" s="16"/>
    </row>
    <row r="33" spans="2:30" s="10" customFormat="1" ht="65.25" customHeight="1" thickBot="1" x14ac:dyDescent="0.25">
      <c r="B33" s="194" t="s">
        <v>22</v>
      </c>
      <c r="C33" s="195" t="s">
        <v>103</v>
      </c>
      <c r="D33" s="764"/>
      <c r="E33" s="765"/>
      <c r="F33" s="198">
        <f>IFERROR(VLOOKUP(D33,$M$32:$N$34,2,0),0)</f>
        <v>0</v>
      </c>
      <c r="G33" s="190">
        <v>40</v>
      </c>
      <c r="H33" s="191"/>
      <c r="I33" s="154"/>
      <c r="J33" s="164" t="s">
        <v>107</v>
      </c>
      <c r="L33" s="15"/>
      <c r="M33" s="230" t="s">
        <v>219</v>
      </c>
      <c r="N33" s="237">
        <v>20</v>
      </c>
      <c r="O33" s="15"/>
      <c r="P33" s="15"/>
      <c r="Q33" s="15"/>
      <c r="R33" s="15"/>
      <c r="S33" s="15"/>
      <c r="T33" s="15"/>
      <c r="U33" s="15"/>
      <c r="V33" s="15"/>
      <c r="W33" s="15"/>
      <c r="X33" s="15"/>
      <c r="Y33" s="15"/>
      <c r="Z33" s="229"/>
      <c r="AA33" s="173"/>
      <c r="AB33" s="15"/>
      <c r="AC33" s="15"/>
      <c r="AD33" s="15"/>
    </row>
    <row r="34" spans="2:30" s="10" customFormat="1" ht="22.5" customHeight="1" x14ac:dyDescent="0.2">
      <c r="B34" s="26"/>
      <c r="C34" s="20"/>
      <c r="D34" s="23"/>
      <c r="E34" s="43" t="s">
        <v>45</v>
      </c>
      <c r="F34" s="199">
        <f>MIN(G34,(SUM(F3:F33)))</f>
        <v>0</v>
      </c>
      <c r="G34" s="200">
        <f>SUM(G3:G33)</f>
        <v>700</v>
      </c>
      <c r="H34" s="59"/>
      <c r="J34" s="58"/>
      <c r="L34" s="15"/>
      <c r="M34" s="232" t="s">
        <v>67</v>
      </c>
      <c r="N34" s="237">
        <v>40</v>
      </c>
      <c r="O34" s="15"/>
      <c r="P34" s="15"/>
      <c r="Q34" s="15"/>
      <c r="R34" s="15"/>
      <c r="S34" s="15"/>
      <c r="T34" s="15"/>
      <c r="U34" s="15"/>
      <c r="V34" s="15"/>
      <c r="W34" s="15"/>
      <c r="X34" s="15"/>
      <c r="Y34" s="15"/>
      <c r="Z34" s="229"/>
      <c r="AA34" s="173"/>
      <c r="AB34" s="15"/>
      <c r="AC34" s="15"/>
      <c r="AD34" s="15"/>
    </row>
    <row r="35" spans="2:30" s="10" customFormat="1" ht="33" customHeight="1" thickBot="1" x14ac:dyDescent="0.25">
      <c r="B35" s="26"/>
      <c r="C35" s="23"/>
      <c r="D35" s="23"/>
      <c r="E35" s="43" t="s">
        <v>46</v>
      </c>
      <c r="F35" s="91">
        <f>F34/G34*100</f>
        <v>0</v>
      </c>
      <c r="G35" s="92"/>
      <c r="H35" s="59"/>
      <c r="J35" s="26"/>
      <c r="L35" s="15"/>
      <c r="M35" s="15"/>
      <c r="N35" s="15"/>
      <c r="O35" s="15"/>
      <c r="P35" s="15"/>
      <c r="Q35" s="15"/>
      <c r="R35" s="15"/>
      <c r="S35" s="15"/>
      <c r="T35" s="15"/>
      <c r="U35" s="15"/>
      <c r="V35" s="15"/>
      <c r="W35" s="15"/>
      <c r="X35" s="15"/>
      <c r="Y35" s="15"/>
      <c r="Z35" s="15"/>
      <c r="AA35" s="15"/>
      <c r="AB35" s="15"/>
      <c r="AC35" s="15"/>
      <c r="AD35" s="15"/>
    </row>
  </sheetData>
  <sheetProtection algorithmName="SHA-512" hashValue="Hxkgmy0dDuZoZKbjt2jGszLk7EE9uFIiH2zbRFu/3wEndbvgE0dZ/MCMk22ATFOg/2Dv2oArRqyYUBLQhIs3tw==" saltValue="mbgOlQOzBa9fwXWLARf8Kw==" spinCount="100000" sheet="1" objects="1" scenarios="1"/>
  <mergeCells count="27">
    <mergeCell ref="J4:J5"/>
    <mergeCell ref="J6:J11"/>
    <mergeCell ref="C10:C11"/>
    <mergeCell ref="G10:G11"/>
    <mergeCell ref="B2:D2"/>
    <mergeCell ref="C3:D3"/>
    <mergeCell ref="B4:B11"/>
    <mergeCell ref="C4:C9"/>
    <mergeCell ref="G4:G9"/>
    <mergeCell ref="C12:D12"/>
    <mergeCell ref="B13:B19"/>
    <mergeCell ref="C13:C17"/>
    <mergeCell ref="G13:G17"/>
    <mergeCell ref="J13:J19"/>
    <mergeCell ref="C18:C19"/>
    <mergeCell ref="G18:G19"/>
    <mergeCell ref="G22:G29"/>
    <mergeCell ref="J22:J30"/>
    <mergeCell ref="C30:C31"/>
    <mergeCell ref="G30:G31"/>
    <mergeCell ref="J31:J32"/>
    <mergeCell ref="D32:E32"/>
    <mergeCell ref="D33:E33"/>
    <mergeCell ref="C20:D20"/>
    <mergeCell ref="D21:E21"/>
    <mergeCell ref="B22:B31"/>
    <mergeCell ref="C22:C29"/>
  </mergeCells>
  <dataValidations count="9">
    <dataValidation type="list" allowBlank="1" showInputMessage="1" showErrorMessage="1" sqref="E24" xr:uid="{C2CD9367-04E5-457A-AEE1-F748B596F088}">
      <formula1>"Always, Often, Sometimes, Rarely, Never, N/A"</formula1>
    </dataValidation>
    <dataValidation type="list" allowBlank="1" showInputMessage="1" showErrorMessage="1" sqref="D21:E21" xr:uid="{B30F6396-575B-4E18-B0E5-B1C2706534CF}">
      <formula1>"Chemical Plant Protection Products (PPP) are used, No Chemical Plant Protection Products (PPP) are used OR only products approved for organic systems"</formula1>
    </dataValidation>
    <dataValidation type="list" allowBlank="1" showInputMessage="1" showErrorMessage="1" sqref="D32:E32" xr:uid="{E48F2946-C594-4EC9-96C8-9486BF80D78F}">
      <formula1>"A diverse landscape with small fields and traditional farming practices, An intermediate landscape with a mix of traditional and modern farming practices, A landscape dedicated to modern technological food production"</formula1>
    </dataValidation>
    <dataValidation type="list" allowBlank="1" showInputMessage="1" showErrorMessage="1" sqref="D33:E33" xr:uid="{02FD44F2-DF8E-420F-B3C4-1F513AA163C3}">
      <formula1>"Habitats within my farm are linked with a wide hedge &amp; margin or sheugh &amp; margin or woodland corridor, Habitats in my farm are linked with a habitat outside of my farm with a wide hedge &amp; margin/sheugh &amp; margin or woodland corridor, Both True"</formula1>
    </dataValidation>
    <dataValidation type="list" allowBlank="1" showInputMessage="1" showErrorMessage="1" sqref="E3" xr:uid="{BE213478-3549-4D96-85C6-6FE30F2A10AE}">
      <formula1>"Yes, No (Go to Q2.2.1)"</formula1>
    </dataValidation>
    <dataValidation type="list" allowBlank="1" showInputMessage="1" showErrorMessage="1" sqref="E22:E23 E25:E31" xr:uid="{1F4DCC00-CF70-4959-8D04-5EFEF249F266}">
      <formula1>"Always, Often, Sometimes, Rarely, Never"</formula1>
    </dataValidation>
    <dataValidation type="list" allowBlank="1" showInputMessage="1" showErrorMessage="1" sqref="E20" xr:uid="{2D14E35B-FFFA-4AE5-A7D5-94D827956B6C}">
      <formula1>"Yes - All of my land, Yes - Part of my land, No"</formula1>
    </dataValidation>
    <dataValidation type="list" allowBlank="1" showInputMessage="1" showErrorMessage="1" sqref="E12" xr:uid="{88AE997B-DA17-430A-B23E-86145C4194C9}">
      <formula1>"Yes, No - Go to Q2.3.1"</formula1>
    </dataValidation>
    <dataValidation type="list" allowBlank="1" showInputMessage="1" showErrorMessage="1" sqref="E13:E19 E4:E11" xr:uid="{DE56FF38-FC94-4BE1-B033-DF63FD434C05}">
      <formula1>"Yes, No"</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92D050"/>
  </sheetPr>
  <dimension ref="A1:AU133"/>
  <sheetViews>
    <sheetView showGridLines="0" showRowColHeaders="0" topLeftCell="B1" zoomScale="120" zoomScaleNormal="120" workbookViewId="0">
      <selection activeCell="E3" sqref="E3"/>
    </sheetView>
  </sheetViews>
  <sheetFormatPr defaultColWidth="4" defaultRowHeight="15" zeroHeight="1" x14ac:dyDescent="0.2"/>
  <cols>
    <col min="1" max="1" width="3.42578125" style="10" hidden="1" customWidth="1"/>
    <col min="2" max="2" width="6.28515625" style="26" customWidth="1"/>
    <col min="3" max="3" width="39.140625" style="26" customWidth="1"/>
    <col min="4" max="4" width="45.140625" style="23" customWidth="1"/>
    <col min="5" max="5" width="16.5703125" style="27" customWidth="1"/>
    <col min="6" max="6" width="3.7109375" style="27" hidden="1" customWidth="1"/>
    <col min="7" max="7" width="5.28515625" style="59" hidden="1" customWidth="1"/>
    <col min="8" max="8" width="0.140625" style="59" hidden="1" customWidth="1"/>
    <col min="9" max="9" width="30.7109375" style="20" customWidth="1"/>
    <col min="10" max="10" width="19.7109375" style="26" customWidth="1"/>
    <col min="11" max="11" width="4.85546875" style="11" customWidth="1"/>
    <col min="12" max="17" width="4" style="173"/>
    <col min="18" max="18" width="14.85546875" style="173" bestFit="1" customWidth="1"/>
    <col min="19" max="23" width="4" style="173"/>
    <col min="24" max="24" width="4" style="504"/>
    <col min="25" max="47" width="4" style="15"/>
    <col min="48" max="16383" width="4" style="10"/>
    <col min="16384" max="16384" width="5.42578125" style="10" customWidth="1"/>
  </cols>
  <sheetData>
    <row r="1" spans="2:47" ht="30.75" customHeight="1" thickBot="1" x14ac:dyDescent="0.25">
      <c r="X1" s="173"/>
    </row>
    <row r="2" spans="2:47" s="12" customFormat="1" ht="39" customHeight="1" thickBot="1" x14ac:dyDescent="0.25">
      <c r="B2" s="723" t="s">
        <v>0</v>
      </c>
      <c r="C2" s="724"/>
      <c r="D2" s="725"/>
      <c r="E2" s="28" t="s">
        <v>301</v>
      </c>
      <c r="F2" s="60" t="s">
        <v>69</v>
      </c>
      <c r="G2" s="61" t="s">
        <v>43</v>
      </c>
      <c r="H2" s="61" t="s">
        <v>44</v>
      </c>
      <c r="I2" s="202"/>
      <c r="J2" s="21" t="s">
        <v>244</v>
      </c>
      <c r="K2" s="203"/>
      <c r="L2" s="502"/>
      <c r="M2" s="502"/>
      <c r="N2" s="502"/>
      <c r="O2" s="502"/>
      <c r="P2" s="502"/>
      <c r="Q2" s="502"/>
      <c r="R2" s="502"/>
      <c r="S2" s="502"/>
      <c r="T2" s="502"/>
      <c r="U2" s="502"/>
      <c r="V2" s="502"/>
      <c r="W2" s="502"/>
      <c r="X2" s="173"/>
      <c r="Y2" s="172"/>
      <c r="Z2" s="172"/>
      <c r="AA2" s="172"/>
      <c r="AB2" s="172"/>
      <c r="AC2" s="172"/>
      <c r="AD2" s="172"/>
      <c r="AE2" s="172"/>
      <c r="AF2" s="172"/>
      <c r="AG2" s="172"/>
      <c r="AH2" s="172"/>
      <c r="AI2" s="172"/>
      <c r="AJ2" s="172"/>
      <c r="AK2" s="172"/>
      <c r="AL2" s="172"/>
      <c r="AM2" s="172"/>
      <c r="AN2" s="172"/>
      <c r="AO2" s="172"/>
      <c r="AP2" s="172"/>
      <c r="AQ2" s="172"/>
      <c r="AR2" s="172"/>
      <c r="AS2" s="172"/>
      <c r="AT2" s="172"/>
      <c r="AU2" s="172"/>
    </row>
    <row r="3" spans="2:47" ht="36" customHeight="1" x14ac:dyDescent="0.2">
      <c r="B3" s="729">
        <v>3.1</v>
      </c>
      <c r="C3" s="735" t="s">
        <v>418</v>
      </c>
      <c r="D3" s="53" t="s">
        <v>93</v>
      </c>
      <c r="E3" s="49"/>
      <c r="F3" s="204">
        <f>IF(E3="Yes",15,0)</f>
        <v>0</v>
      </c>
      <c r="G3" s="785">
        <v>180</v>
      </c>
      <c r="H3" s="186"/>
      <c r="J3" s="787" t="s">
        <v>119</v>
      </c>
      <c r="K3" s="205"/>
      <c r="L3" s="229"/>
      <c r="M3" s="229"/>
      <c r="N3" s="229"/>
      <c r="O3" s="229"/>
      <c r="P3" s="229"/>
      <c r="Q3" s="229"/>
      <c r="R3" s="229"/>
      <c r="S3" s="229"/>
      <c r="T3" s="229"/>
      <c r="U3" s="229"/>
      <c r="V3" s="229"/>
      <c r="W3" s="229"/>
      <c r="X3" s="173"/>
    </row>
    <row r="4" spans="2:47" ht="36" customHeight="1" x14ac:dyDescent="0.2">
      <c r="B4" s="730"/>
      <c r="C4" s="733"/>
      <c r="D4" s="33" t="s">
        <v>271</v>
      </c>
      <c r="E4" s="51"/>
      <c r="F4" s="206">
        <f>IF(E4="Yes",15,0)</f>
        <v>0</v>
      </c>
      <c r="G4" s="786"/>
      <c r="H4" s="70"/>
      <c r="J4" s="788"/>
      <c r="K4" s="205"/>
      <c r="L4" s="229"/>
      <c r="M4" s="229"/>
      <c r="N4" s="229"/>
      <c r="O4" s="229"/>
      <c r="P4" s="229"/>
      <c r="Q4" s="229"/>
      <c r="R4" s="229"/>
      <c r="S4" s="229"/>
      <c r="T4" s="229"/>
      <c r="U4" s="229"/>
      <c r="V4" s="229"/>
      <c r="W4" s="229"/>
      <c r="X4" s="173"/>
    </row>
    <row r="5" spans="2:47" ht="51" customHeight="1" thickBot="1" x14ac:dyDescent="0.25">
      <c r="B5" s="730"/>
      <c r="C5" s="733"/>
      <c r="D5" s="54" t="s">
        <v>270</v>
      </c>
      <c r="E5" s="166"/>
      <c r="F5" s="207">
        <f>IF(E5="Yes",35,0)</f>
        <v>0</v>
      </c>
      <c r="G5" s="786"/>
      <c r="H5" s="70"/>
      <c r="J5" s="789"/>
      <c r="K5" s="13"/>
      <c r="L5" s="229"/>
      <c r="M5" s="229"/>
      <c r="N5" s="229"/>
      <c r="O5" s="229"/>
      <c r="P5" s="229"/>
      <c r="Q5" s="229"/>
      <c r="R5" s="229"/>
      <c r="S5" s="229"/>
      <c r="T5" s="229"/>
      <c r="U5" s="229"/>
      <c r="V5" s="229"/>
      <c r="W5" s="229"/>
      <c r="X5" s="15"/>
    </row>
    <row r="6" spans="2:47" ht="36" customHeight="1" x14ac:dyDescent="0.2">
      <c r="B6" s="730"/>
      <c r="C6" s="735" t="s">
        <v>254</v>
      </c>
      <c r="D6" s="53" t="s">
        <v>191</v>
      </c>
      <c r="E6" s="208">
        <f>'% Habitat Score'!J59</f>
        <v>0</v>
      </c>
      <c r="F6" s="209">
        <f>IF(E6&gt;0,30,0)</f>
        <v>0</v>
      </c>
      <c r="G6" s="762"/>
      <c r="H6" s="70"/>
      <c r="I6" s="210"/>
      <c r="J6" s="738" t="s">
        <v>426</v>
      </c>
      <c r="K6" s="13"/>
      <c r="L6" s="229"/>
      <c r="M6" s="229"/>
      <c r="N6" s="229"/>
      <c r="O6" s="229"/>
      <c r="P6" s="229"/>
      <c r="Q6" s="229"/>
      <c r="R6" s="229"/>
      <c r="S6" s="229"/>
      <c r="T6" s="229"/>
      <c r="U6" s="229"/>
      <c r="V6" s="229"/>
      <c r="W6" s="229"/>
      <c r="X6" s="173"/>
    </row>
    <row r="7" spans="2:47" ht="36" customHeight="1" x14ac:dyDescent="0.2">
      <c r="B7" s="730"/>
      <c r="C7" s="733"/>
      <c r="D7" s="33" t="s">
        <v>192</v>
      </c>
      <c r="E7" s="211">
        <f>'% Habitat Score'!J60</f>
        <v>0</v>
      </c>
      <c r="F7" s="212">
        <f>IF(E7&gt;0,30,0)</f>
        <v>0</v>
      </c>
      <c r="G7" s="762"/>
      <c r="H7" s="70"/>
      <c r="I7" s="210"/>
      <c r="J7" s="739"/>
      <c r="K7" s="13"/>
      <c r="L7" s="229"/>
      <c r="M7" s="229"/>
      <c r="N7" s="229"/>
      <c r="O7" s="229"/>
      <c r="P7" s="229"/>
      <c r="Q7" s="229"/>
      <c r="R7" s="229"/>
      <c r="S7" s="229"/>
      <c r="T7" s="229"/>
      <c r="U7" s="229"/>
      <c r="V7" s="229"/>
      <c r="W7" s="229"/>
      <c r="X7" s="173"/>
    </row>
    <row r="8" spans="2:47" ht="36" customHeight="1" x14ac:dyDescent="0.2">
      <c r="B8" s="730"/>
      <c r="C8" s="733"/>
      <c r="D8" s="33" t="s">
        <v>193</v>
      </c>
      <c r="E8" s="211">
        <f>'% Habitat Score'!J61</f>
        <v>0</v>
      </c>
      <c r="F8" s="212">
        <f>IF(E8&gt;0,25,0)</f>
        <v>0</v>
      </c>
      <c r="G8" s="762"/>
      <c r="H8" s="70">
        <f>E10</f>
        <v>0</v>
      </c>
      <c r="J8" s="739"/>
      <c r="K8" s="13"/>
      <c r="L8" s="229"/>
      <c r="M8" s="229"/>
      <c r="N8" s="229"/>
      <c r="O8" s="229"/>
      <c r="P8" s="229"/>
      <c r="Q8" s="229"/>
      <c r="R8" s="229"/>
      <c r="S8" s="229"/>
      <c r="T8" s="229"/>
      <c r="U8" s="229"/>
      <c r="V8" s="229"/>
      <c r="W8" s="229"/>
      <c r="X8" s="173"/>
    </row>
    <row r="9" spans="2:47" ht="36" customHeight="1" x14ac:dyDescent="0.2">
      <c r="B9" s="730"/>
      <c r="C9" s="733"/>
      <c r="D9" s="33" t="s">
        <v>194</v>
      </c>
      <c r="E9" s="211">
        <f>'% Habitat Score'!J62</f>
        <v>0</v>
      </c>
      <c r="F9" s="212">
        <f>IF(E9&gt;0,30,0)</f>
        <v>0</v>
      </c>
      <c r="G9" s="763"/>
      <c r="H9" s="70"/>
      <c r="J9" s="739"/>
      <c r="K9" s="13"/>
      <c r="L9" s="229"/>
      <c r="M9" s="229"/>
      <c r="N9" s="229"/>
      <c r="O9" s="229"/>
      <c r="P9" s="229"/>
      <c r="Q9" s="229"/>
      <c r="R9" s="229"/>
      <c r="S9" s="229"/>
      <c r="T9" s="229"/>
      <c r="U9" s="229"/>
      <c r="V9" s="229"/>
      <c r="W9" s="229"/>
      <c r="X9" s="173"/>
    </row>
    <row r="10" spans="2:47" ht="36" customHeight="1" thickBot="1" x14ac:dyDescent="0.25">
      <c r="B10" s="731"/>
      <c r="C10" s="760"/>
      <c r="D10" s="55" t="s">
        <v>195</v>
      </c>
      <c r="E10" s="213">
        <f>SUM(E6:E9)</f>
        <v>0</v>
      </c>
      <c r="F10" s="214"/>
      <c r="G10" s="215"/>
      <c r="H10" s="73"/>
      <c r="J10" s="740"/>
      <c r="K10" s="13"/>
      <c r="L10" s="229"/>
      <c r="M10" s="229"/>
      <c r="N10" s="229"/>
      <c r="O10" s="229"/>
      <c r="P10" s="229"/>
      <c r="Q10" s="229"/>
      <c r="R10" s="229"/>
      <c r="S10" s="229"/>
      <c r="T10" s="229"/>
      <c r="U10" s="229"/>
      <c r="V10" s="229"/>
      <c r="W10" s="229"/>
      <c r="X10" s="173"/>
    </row>
    <row r="11" spans="2:47" ht="34.5" customHeight="1" thickBot="1" x14ac:dyDescent="0.25">
      <c r="D11" s="222"/>
      <c r="E11" s="223"/>
      <c r="J11" s="58"/>
      <c r="K11" s="13"/>
      <c r="L11" s="229"/>
      <c r="M11" s="229"/>
      <c r="N11" s="229"/>
      <c r="O11" s="229"/>
      <c r="P11" s="229"/>
      <c r="Q11" s="229"/>
      <c r="R11" s="229"/>
      <c r="S11" s="229"/>
      <c r="T11" s="229"/>
      <c r="U11" s="229"/>
      <c r="V11" s="229"/>
      <c r="W11" s="229"/>
      <c r="X11" s="15"/>
    </row>
    <row r="12" spans="2:47" ht="35.25" customHeight="1" thickBot="1" x14ac:dyDescent="0.25">
      <c r="B12" s="646" t="s">
        <v>267</v>
      </c>
      <c r="C12" s="790"/>
      <c r="D12" s="790"/>
      <c r="E12" s="791"/>
      <c r="F12" s="74"/>
      <c r="G12" s="74"/>
      <c r="H12" s="75"/>
      <c r="J12" s="58"/>
      <c r="K12" s="13"/>
      <c r="L12" s="229"/>
      <c r="M12" s="229"/>
      <c r="N12" s="229"/>
      <c r="O12" s="229"/>
      <c r="P12" s="229"/>
      <c r="Q12" s="229"/>
      <c r="R12" s="229"/>
      <c r="S12" s="229"/>
      <c r="T12" s="229"/>
      <c r="U12" s="229"/>
      <c r="V12" s="229"/>
      <c r="W12" s="229"/>
      <c r="X12" s="173"/>
    </row>
    <row r="13" spans="2:47" ht="34.5" customHeight="1" x14ac:dyDescent="0.2">
      <c r="B13" s="165">
        <v>3.2</v>
      </c>
      <c r="C13" s="792" t="s">
        <v>268</v>
      </c>
      <c r="D13" s="792"/>
      <c r="E13" s="49"/>
      <c r="F13" s="216" t="s">
        <v>72</v>
      </c>
      <c r="G13" s="217"/>
      <c r="H13" s="186"/>
      <c r="J13" s="57" t="s">
        <v>11</v>
      </c>
      <c r="X13" s="15"/>
    </row>
    <row r="14" spans="2:47" ht="42" customHeight="1" x14ac:dyDescent="0.2">
      <c r="B14" s="730" t="s">
        <v>24</v>
      </c>
      <c r="C14" s="621" t="s">
        <v>197</v>
      </c>
      <c r="D14" s="224" t="s">
        <v>111</v>
      </c>
      <c r="E14" s="175">
        <f>'% Habitat Score'!J55</f>
        <v>0</v>
      </c>
      <c r="F14" s="218" t="s">
        <v>72</v>
      </c>
      <c r="G14" s="219"/>
      <c r="H14" s="70">
        <f>E16</f>
        <v>0</v>
      </c>
      <c r="J14" s="749" t="s">
        <v>427</v>
      </c>
      <c r="K14" s="13"/>
      <c r="L14" s="229"/>
      <c r="M14" s="229"/>
      <c r="N14" s="229"/>
      <c r="O14" s="229"/>
      <c r="P14" s="229"/>
      <c r="Q14" s="229"/>
      <c r="R14" s="229"/>
      <c r="S14" s="229"/>
      <c r="T14" s="229"/>
      <c r="U14" s="229"/>
      <c r="V14" s="229"/>
      <c r="W14" s="229"/>
      <c r="X14" s="15"/>
    </row>
    <row r="15" spans="2:47" ht="42" customHeight="1" x14ac:dyDescent="0.2">
      <c r="B15" s="730"/>
      <c r="C15" s="621"/>
      <c r="D15" s="224" t="s">
        <v>94</v>
      </c>
      <c r="E15" s="175">
        <f>'% Habitat Score'!J56</f>
        <v>0</v>
      </c>
      <c r="F15" s="218"/>
      <c r="G15" s="219"/>
      <c r="H15" s="70"/>
      <c r="J15" s="749"/>
      <c r="K15" s="13"/>
      <c r="L15" s="229"/>
      <c r="M15" s="229"/>
      <c r="N15" s="229"/>
      <c r="O15" s="229"/>
      <c r="P15" s="229"/>
      <c r="Q15" s="229"/>
      <c r="R15" s="229"/>
      <c r="S15" s="229"/>
      <c r="T15" s="229"/>
      <c r="U15" s="229"/>
      <c r="V15" s="229"/>
      <c r="W15" s="229"/>
      <c r="X15" s="15"/>
    </row>
    <row r="16" spans="2:47" ht="34.5" customHeight="1" thickBot="1" x14ac:dyDescent="0.25">
      <c r="B16" s="731"/>
      <c r="C16" s="623"/>
      <c r="D16" s="225" t="s">
        <v>95</v>
      </c>
      <c r="E16" s="226">
        <f>(E14*E15)/10000</f>
        <v>0</v>
      </c>
      <c r="F16" s="220"/>
      <c r="G16" s="221"/>
      <c r="H16" s="73"/>
      <c r="J16" s="749"/>
      <c r="K16" s="13"/>
      <c r="L16" s="229"/>
      <c r="M16" s="229"/>
      <c r="N16" s="229"/>
      <c r="O16" s="229"/>
      <c r="P16" s="229"/>
      <c r="Q16" s="229"/>
      <c r="R16" s="229"/>
      <c r="S16" s="229"/>
      <c r="T16" s="229"/>
      <c r="U16" s="229"/>
      <c r="V16" s="229"/>
      <c r="W16" s="229"/>
      <c r="X16" s="173"/>
    </row>
    <row r="17" spans="2:35" ht="44.25" customHeight="1" x14ac:dyDescent="0.2">
      <c r="B17" s="729" t="s">
        <v>25</v>
      </c>
      <c r="C17" s="735" t="s">
        <v>196</v>
      </c>
      <c r="D17" s="53" t="s">
        <v>287</v>
      </c>
      <c r="E17" s="40"/>
      <c r="F17" s="227">
        <f>IFERROR(VLOOKUP(E17,R35:S40,2,0),0)</f>
        <v>0</v>
      </c>
      <c r="G17" s="785">
        <v>180</v>
      </c>
      <c r="H17" s="228"/>
      <c r="J17" s="738" t="s">
        <v>428</v>
      </c>
      <c r="K17" s="13"/>
      <c r="L17" s="229"/>
      <c r="M17" s="229"/>
      <c r="N17" s="229"/>
      <c r="O17" s="229"/>
      <c r="P17" s="229"/>
      <c r="Q17" s="229"/>
      <c r="R17" s="229"/>
      <c r="S17" s="229"/>
      <c r="T17" s="229"/>
      <c r="U17" s="229"/>
      <c r="V17" s="229"/>
      <c r="W17" s="229"/>
      <c r="X17" s="15"/>
    </row>
    <row r="18" spans="2:35" ht="36.75" customHeight="1" x14ac:dyDescent="0.2">
      <c r="B18" s="730"/>
      <c r="C18" s="733"/>
      <c r="D18" s="33" t="s">
        <v>246</v>
      </c>
      <c r="E18" s="32"/>
      <c r="F18" s="227">
        <f>IFERROR(VLOOKUP(E18,R35:S40,2,0),0)</f>
        <v>0</v>
      </c>
      <c r="G18" s="786"/>
      <c r="H18" s="70"/>
      <c r="J18" s="739"/>
      <c r="K18" s="13"/>
      <c r="L18" s="229"/>
      <c r="M18" s="229"/>
      <c r="N18" s="229"/>
      <c r="O18" s="229"/>
      <c r="P18" s="229"/>
      <c r="Q18" s="229"/>
      <c r="R18" s="229"/>
      <c r="S18" s="229"/>
      <c r="T18" s="229"/>
      <c r="U18" s="229"/>
      <c r="V18" s="229"/>
      <c r="W18" s="229"/>
      <c r="X18" s="15"/>
    </row>
    <row r="19" spans="2:35" ht="36.75" customHeight="1" x14ac:dyDescent="0.2">
      <c r="B19" s="730"/>
      <c r="C19" s="733"/>
      <c r="D19" s="33" t="s">
        <v>299</v>
      </c>
      <c r="E19" s="32"/>
      <c r="F19" s="133">
        <f>IF(E19="Yes",20,0)</f>
        <v>0</v>
      </c>
      <c r="G19" s="786"/>
      <c r="H19" s="70"/>
      <c r="J19" s="739"/>
      <c r="K19" s="13"/>
      <c r="L19" s="229"/>
      <c r="M19" s="229"/>
      <c r="N19" s="229"/>
      <c r="O19" s="229"/>
      <c r="P19" s="229"/>
      <c r="Q19" s="229"/>
      <c r="R19" s="229"/>
      <c r="S19" s="229"/>
      <c r="T19" s="229"/>
      <c r="U19" s="229"/>
      <c r="V19" s="229"/>
      <c r="W19" s="229"/>
      <c r="X19" s="15"/>
    </row>
    <row r="20" spans="2:35" ht="45.75" customHeight="1" x14ac:dyDescent="0.2">
      <c r="B20" s="730"/>
      <c r="C20" s="733"/>
      <c r="D20" s="33" t="s">
        <v>120</v>
      </c>
      <c r="E20" s="32"/>
      <c r="F20" s="133">
        <f>IFERROR(VLOOKUP(E20,R35:S40,2,0),0)</f>
        <v>0</v>
      </c>
      <c r="G20" s="786"/>
      <c r="H20" s="70"/>
      <c r="J20" s="739"/>
      <c r="K20" s="13"/>
      <c r="L20" s="229"/>
      <c r="M20" s="229"/>
      <c r="N20" s="229"/>
      <c r="O20" s="229"/>
      <c r="P20" s="229"/>
      <c r="Q20" s="229"/>
      <c r="R20" s="229"/>
      <c r="S20" s="229"/>
      <c r="T20" s="229"/>
      <c r="U20" s="229"/>
      <c r="V20" s="229"/>
      <c r="W20" s="229"/>
      <c r="X20" s="15"/>
    </row>
    <row r="21" spans="2:35" ht="41.25" customHeight="1" x14ac:dyDescent="0.2">
      <c r="B21" s="730"/>
      <c r="C21" s="733"/>
      <c r="D21" s="54" t="s">
        <v>300</v>
      </c>
      <c r="E21" s="32"/>
      <c r="F21" s="187">
        <f>IF(E21="Yes",20,0)</f>
        <v>0</v>
      </c>
      <c r="G21" s="786"/>
      <c r="H21" s="67"/>
      <c r="J21" s="739"/>
      <c r="K21" s="13"/>
      <c r="L21" s="229"/>
      <c r="M21" s="229"/>
      <c r="N21" s="229"/>
      <c r="O21" s="229"/>
      <c r="P21" s="229"/>
      <c r="Q21" s="229"/>
      <c r="R21" s="229"/>
      <c r="S21" s="229"/>
      <c r="T21" s="229"/>
      <c r="U21" s="229"/>
      <c r="V21" s="229"/>
      <c r="W21" s="229"/>
      <c r="X21" s="15"/>
    </row>
    <row r="22" spans="2:35" ht="36.75" customHeight="1" x14ac:dyDescent="0.2">
      <c r="B22" s="730"/>
      <c r="C22" s="768"/>
      <c r="D22" s="33" t="s">
        <v>247</v>
      </c>
      <c r="E22" s="32"/>
      <c r="F22" s="187">
        <f>IFERROR(VLOOKUP(E22,$R$35:$S$40,2,0),0)</f>
        <v>0</v>
      </c>
      <c r="G22" s="786"/>
      <c r="H22" s="87"/>
      <c r="J22" s="739"/>
      <c r="K22" s="13"/>
      <c r="L22" s="229"/>
      <c r="M22" s="229"/>
      <c r="N22" s="229"/>
      <c r="O22" s="229"/>
      <c r="P22" s="229"/>
      <c r="Q22" s="229"/>
      <c r="R22" s="229"/>
      <c r="S22" s="229"/>
      <c r="T22" s="229"/>
      <c r="U22" s="229"/>
      <c r="V22" s="229"/>
      <c r="W22" s="501"/>
      <c r="X22" s="230"/>
      <c r="Y22" s="230"/>
      <c r="Z22" s="230"/>
      <c r="AA22" s="230"/>
      <c r="AB22" s="230"/>
      <c r="AC22" s="230"/>
      <c r="AD22" s="230"/>
      <c r="AE22" s="230"/>
      <c r="AF22" s="230"/>
      <c r="AG22" s="230"/>
      <c r="AH22" s="230"/>
      <c r="AI22" s="230"/>
    </row>
    <row r="23" spans="2:35" ht="52.5" customHeight="1" thickBot="1" x14ac:dyDescent="0.25">
      <c r="B23" s="734"/>
      <c r="C23" s="472" t="s">
        <v>134</v>
      </c>
      <c r="D23" s="36"/>
      <c r="E23" s="50"/>
      <c r="F23" s="187">
        <f>IFERROR(VLOOKUP(E23,$R$35:$S$40,2,0),0)</f>
        <v>0</v>
      </c>
      <c r="G23" s="474"/>
      <c r="H23" s="87"/>
      <c r="J23" s="740"/>
      <c r="K23" s="13"/>
      <c r="L23" s="229"/>
      <c r="M23" s="229"/>
      <c r="N23" s="229"/>
      <c r="O23" s="229"/>
      <c r="P23" s="229"/>
      <c r="Q23" s="229"/>
      <c r="R23" s="229"/>
      <c r="S23" s="229"/>
      <c r="T23" s="229"/>
      <c r="U23" s="229"/>
      <c r="V23" s="229"/>
      <c r="W23" s="501"/>
      <c r="X23" s="230"/>
      <c r="Y23" s="230"/>
      <c r="Z23" s="230"/>
      <c r="AA23" s="230"/>
      <c r="AB23" s="230"/>
      <c r="AC23" s="230"/>
      <c r="AD23" s="230"/>
      <c r="AE23" s="230"/>
      <c r="AF23" s="230"/>
      <c r="AG23" s="230"/>
      <c r="AH23" s="230"/>
      <c r="AI23" s="230"/>
    </row>
    <row r="24" spans="2:35" ht="45.75" customHeight="1" thickBot="1" x14ac:dyDescent="0.25">
      <c r="B24" s="445" t="s">
        <v>96</v>
      </c>
      <c r="C24" s="793" t="s">
        <v>140</v>
      </c>
      <c r="D24" s="794"/>
      <c r="E24" s="52"/>
      <c r="F24" s="220" t="s">
        <v>72</v>
      </c>
      <c r="G24" s="221"/>
      <c r="H24" s="73"/>
      <c r="J24" s="164" t="s">
        <v>408</v>
      </c>
      <c r="K24" s="13"/>
      <c r="L24" s="229"/>
      <c r="M24" s="229"/>
      <c r="N24" s="229"/>
      <c r="O24" s="503"/>
      <c r="P24" s="229"/>
      <c r="Q24" s="229"/>
      <c r="R24" s="229"/>
      <c r="S24" s="229"/>
      <c r="T24" s="229"/>
      <c r="U24" s="229"/>
      <c r="V24" s="229"/>
      <c r="W24" s="501"/>
      <c r="X24" s="230"/>
      <c r="Y24" s="230"/>
      <c r="Z24" s="230"/>
      <c r="AA24" s="230"/>
      <c r="AB24" s="230"/>
      <c r="AC24" s="230"/>
      <c r="AD24" s="799"/>
      <c r="AE24" s="799"/>
      <c r="AF24" s="799"/>
      <c r="AG24" s="799"/>
      <c r="AH24" s="799"/>
      <c r="AI24" s="799"/>
    </row>
    <row r="25" spans="2:35" ht="36.75" customHeight="1" thickBot="1" x14ac:dyDescent="0.25">
      <c r="B25" s="446"/>
      <c r="C25" s="58"/>
      <c r="E25" s="231"/>
      <c r="J25" s="58"/>
      <c r="K25" s="13"/>
      <c r="L25" s="229"/>
      <c r="M25" s="229"/>
      <c r="O25" s="503"/>
      <c r="P25" s="229"/>
      <c r="Q25" s="229"/>
      <c r="R25" s="229"/>
      <c r="S25" s="229"/>
      <c r="T25" s="229"/>
      <c r="U25" s="229"/>
      <c r="V25" s="229"/>
      <c r="W25" s="501"/>
      <c r="X25" s="230"/>
      <c r="Y25" s="232"/>
      <c r="Z25" s="232"/>
      <c r="AA25" s="232"/>
      <c r="AB25" s="232"/>
      <c r="AC25" s="232"/>
      <c r="AD25" s="232"/>
      <c r="AE25" s="232"/>
      <c r="AF25" s="230"/>
      <c r="AG25" s="230"/>
      <c r="AH25" s="230"/>
      <c r="AI25" s="230"/>
    </row>
    <row r="26" spans="2:35" ht="36.75" customHeight="1" thickBot="1" x14ac:dyDescent="0.25">
      <c r="B26" s="646" t="s">
        <v>97</v>
      </c>
      <c r="C26" s="588"/>
      <c r="D26" s="588"/>
      <c r="E26" s="589"/>
      <c r="F26" s="233"/>
      <c r="G26" s="233"/>
      <c r="H26" s="234"/>
      <c r="J26" s="58"/>
      <c r="K26" s="13"/>
      <c r="L26" s="229"/>
      <c r="M26" s="229"/>
      <c r="N26" s="229"/>
      <c r="O26" s="503"/>
      <c r="P26" s="229"/>
      <c r="Q26" s="229"/>
      <c r="R26" s="229"/>
      <c r="S26" s="229"/>
      <c r="T26" s="229"/>
      <c r="U26" s="229"/>
      <c r="V26" s="229"/>
      <c r="W26" s="501"/>
      <c r="X26" s="230"/>
      <c r="Y26" s="230"/>
      <c r="Z26" s="230"/>
      <c r="AA26" s="230"/>
      <c r="AB26" s="230"/>
      <c r="AC26" s="230"/>
      <c r="AD26" s="230"/>
      <c r="AE26" s="230"/>
      <c r="AF26" s="230"/>
      <c r="AG26" s="230"/>
      <c r="AH26" s="230"/>
      <c r="AI26" s="230"/>
    </row>
    <row r="27" spans="2:35" ht="34.5" customHeight="1" x14ac:dyDescent="0.2">
      <c r="B27" s="730">
        <v>3.3</v>
      </c>
      <c r="C27" s="600" t="s">
        <v>199</v>
      </c>
      <c r="D27" s="224" t="s">
        <v>161</v>
      </c>
      <c r="E27" s="235" t="e">
        <f>'% Habitat Score'!G50</f>
        <v>#VALUE!</v>
      </c>
      <c r="F27" s="218"/>
      <c r="G27" s="219"/>
      <c r="H27" s="70"/>
      <c r="I27" s="236"/>
      <c r="J27" s="749" t="s">
        <v>427</v>
      </c>
      <c r="K27" s="13"/>
      <c r="L27" s="229"/>
      <c r="M27" s="229"/>
      <c r="N27" s="229"/>
      <c r="O27" s="503"/>
      <c r="P27" s="229"/>
      <c r="Q27" s="229"/>
      <c r="R27" s="229"/>
      <c r="S27" s="229"/>
      <c r="T27" s="229"/>
      <c r="U27" s="229"/>
      <c r="V27" s="229"/>
      <c r="W27" s="501"/>
      <c r="X27" s="230"/>
      <c r="Y27" s="230"/>
      <c r="Z27" s="230"/>
      <c r="AA27" s="230"/>
      <c r="AB27" s="230"/>
      <c r="AC27" s="230"/>
      <c r="AD27" s="230"/>
      <c r="AE27" s="230"/>
      <c r="AF27" s="230"/>
      <c r="AG27" s="230"/>
      <c r="AH27" s="230"/>
      <c r="AI27" s="230"/>
    </row>
    <row r="28" spans="2:35" ht="40.5" customHeight="1" x14ac:dyDescent="0.2">
      <c r="B28" s="730"/>
      <c r="C28" s="600"/>
      <c r="D28" s="224" t="s">
        <v>173</v>
      </c>
      <c r="E28" s="175">
        <f>'% Habitat Score'!H50</f>
        <v>2</v>
      </c>
      <c r="F28" s="218"/>
      <c r="G28" s="219"/>
      <c r="H28" s="70"/>
      <c r="J28" s="749"/>
      <c r="K28" s="13"/>
      <c r="L28" s="229"/>
      <c r="M28" s="229"/>
      <c r="N28" s="229"/>
      <c r="O28" s="800"/>
      <c r="P28" s="800"/>
      <c r="Q28" s="800"/>
      <c r="R28" s="800"/>
      <c r="S28" s="800"/>
      <c r="T28" s="800"/>
      <c r="U28" s="229"/>
      <c r="V28" s="229"/>
      <c r="W28" s="501"/>
      <c r="X28" s="237"/>
      <c r="Y28" s="230"/>
      <c r="Z28" s="230"/>
      <c r="AA28" s="230"/>
      <c r="AB28" s="230"/>
      <c r="AC28" s="230"/>
      <c r="AD28" s="230"/>
      <c r="AE28" s="230"/>
      <c r="AF28" s="230"/>
      <c r="AG28" s="230"/>
      <c r="AH28" s="230"/>
      <c r="AI28" s="230"/>
    </row>
    <row r="29" spans="2:35" ht="44.25" customHeight="1" thickBot="1" x14ac:dyDescent="0.25">
      <c r="B29" s="731"/>
      <c r="C29" s="602"/>
      <c r="D29" s="238" t="s">
        <v>172</v>
      </c>
      <c r="E29" s="155" t="str">
        <f>IFERROR((E27*E28)/10000, " ")</f>
        <v xml:space="preserve"> </v>
      </c>
      <c r="F29" s="220"/>
      <c r="G29" s="221"/>
      <c r="H29" s="239" t="str">
        <f>E29</f>
        <v xml:space="preserve"> </v>
      </c>
      <c r="J29" s="749"/>
      <c r="K29" s="13"/>
      <c r="L29" s="229"/>
      <c r="M29" s="229"/>
      <c r="N29" s="229"/>
      <c r="O29" s="229"/>
      <c r="P29" s="229"/>
      <c r="Q29" s="229"/>
      <c r="R29" s="229"/>
      <c r="S29" s="229"/>
      <c r="T29" s="229"/>
      <c r="U29" s="229"/>
      <c r="V29" s="229"/>
      <c r="W29" s="501"/>
      <c r="X29" s="230"/>
      <c r="Y29" s="230"/>
      <c r="Z29" s="230"/>
      <c r="AA29" s="230"/>
      <c r="AB29" s="230"/>
      <c r="AC29" s="230"/>
      <c r="AD29" s="230"/>
      <c r="AE29" s="230"/>
      <c r="AF29" s="230"/>
      <c r="AG29" s="230"/>
      <c r="AH29" s="230"/>
      <c r="AI29" s="230"/>
    </row>
    <row r="30" spans="2:35" ht="40.5" customHeight="1" x14ac:dyDescent="0.2">
      <c r="B30" s="729" t="s">
        <v>29</v>
      </c>
      <c r="C30" s="735" t="s">
        <v>200</v>
      </c>
      <c r="D30" s="53" t="s">
        <v>288</v>
      </c>
      <c r="E30" s="40"/>
      <c r="F30" s="227">
        <f>IFERROR(VLOOKUP(E30,$U$35:$V$40,2,0),0)</f>
        <v>0</v>
      </c>
      <c r="G30" s="785">
        <v>360</v>
      </c>
      <c r="H30" s="228"/>
      <c r="I30" s="240"/>
      <c r="J30" s="738" t="s">
        <v>127</v>
      </c>
      <c r="K30" s="13"/>
      <c r="L30" s="229"/>
      <c r="M30" s="229"/>
      <c r="N30" s="229"/>
      <c r="O30" s="229"/>
      <c r="P30" s="229"/>
      <c r="Q30" s="229"/>
      <c r="R30" s="229"/>
      <c r="S30" s="229"/>
      <c r="T30" s="229"/>
      <c r="U30" s="229"/>
      <c r="V30" s="229"/>
      <c r="W30" s="501"/>
      <c r="X30" s="230"/>
      <c r="Y30" s="230"/>
      <c r="Z30" s="230"/>
      <c r="AA30" s="230"/>
      <c r="AB30" s="230"/>
      <c r="AC30" s="230"/>
      <c r="AD30" s="230"/>
      <c r="AE30" s="230"/>
      <c r="AF30" s="230"/>
      <c r="AG30" s="230"/>
      <c r="AH30" s="230"/>
      <c r="AI30" s="230"/>
    </row>
    <row r="31" spans="2:35" ht="36.75" customHeight="1" x14ac:dyDescent="0.2">
      <c r="B31" s="730"/>
      <c r="C31" s="733"/>
      <c r="D31" s="33" t="s">
        <v>242</v>
      </c>
      <c r="E31" s="34"/>
      <c r="F31" s="227">
        <f t="shared" ref="F31:F36" si="0">IFERROR(VLOOKUP(E31,$U$35:$V$40,2,0),0)</f>
        <v>0</v>
      </c>
      <c r="G31" s="786"/>
      <c r="H31" s="70"/>
      <c r="I31" s="240"/>
      <c r="J31" s="739"/>
      <c r="K31" s="13"/>
      <c r="L31" s="229"/>
      <c r="M31" s="229"/>
      <c r="N31" s="229"/>
      <c r="O31" s="229"/>
      <c r="P31" s="229"/>
      <c r="Q31" s="229"/>
      <c r="R31" s="229"/>
      <c r="S31" s="229"/>
      <c r="T31" s="229"/>
      <c r="U31" s="229"/>
      <c r="V31" s="229"/>
      <c r="W31" s="501"/>
      <c r="X31" s="237"/>
      <c r="Y31" s="230"/>
      <c r="Z31" s="230"/>
      <c r="AA31" s="230"/>
      <c r="AB31" s="230"/>
      <c r="AC31" s="230"/>
      <c r="AD31" s="230"/>
      <c r="AE31" s="230"/>
      <c r="AF31" s="230"/>
      <c r="AG31" s="230"/>
      <c r="AH31" s="230"/>
      <c r="AI31" s="230"/>
    </row>
    <row r="32" spans="2:35" ht="44.25" customHeight="1" x14ac:dyDescent="0.2">
      <c r="B32" s="730"/>
      <c r="C32" s="733"/>
      <c r="D32" s="33" t="s">
        <v>241</v>
      </c>
      <c r="E32" s="34"/>
      <c r="F32" s="227">
        <f t="shared" si="0"/>
        <v>0</v>
      </c>
      <c r="G32" s="786"/>
      <c r="H32" s="70"/>
      <c r="J32" s="739"/>
      <c r="K32" s="13"/>
      <c r="L32" s="15"/>
      <c r="M32" s="229"/>
      <c r="N32" s="229"/>
      <c r="O32" s="229"/>
      <c r="P32" s="229"/>
      <c r="Q32" s="229"/>
      <c r="R32" s="229"/>
      <c r="S32" s="229"/>
      <c r="T32" s="229"/>
      <c r="U32" s="229"/>
      <c r="V32" s="229"/>
      <c r="W32" s="229"/>
      <c r="X32" s="15"/>
    </row>
    <row r="33" spans="2:34" ht="36.75" customHeight="1" x14ac:dyDescent="0.2">
      <c r="B33" s="730"/>
      <c r="C33" s="733"/>
      <c r="D33" s="33" t="s">
        <v>104</v>
      </c>
      <c r="E33" s="34"/>
      <c r="F33" s="227">
        <f t="shared" si="0"/>
        <v>0</v>
      </c>
      <c r="G33" s="786"/>
      <c r="H33" s="70"/>
      <c r="J33" s="739"/>
      <c r="K33" s="13"/>
      <c r="L33" s="229"/>
      <c r="M33" s="229"/>
      <c r="N33" s="229"/>
      <c r="P33" s="229"/>
      <c r="Q33" s="229"/>
      <c r="R33" s="229"/>
      <c r="S33" s="229"/>
      <c r="T33" s="229"/>
      <c r="U33" s="229"/>
      <c r="V33" s="229"/>
      <c r="W33" s="229"/>
      <c r="X33" s="173"/>
    </row>
    <row r="34" spans="2:34" ht="39" customHeight="1" x14ac:dyDescent="0.2">
      <c r="B34" s="730"/>
      <c r="C34" s="733"/>
      <c r="D34" s="33" t="s">
        <v>26</v>
      </c>
      <c r="E34" s="34"/>
      <c r="F34" s="227">
        <f t="shared" si="0"/>
        <v>0</v>
      </c>
      <c r="G34" s="786"/>
      <c r="H34" s="70"/>
      <c r="J34" s="739"/>
      <c r="K34" s="13"/>
      <c r="L34" s="229"/>
      <c r="M34" s="229"/>
      <c r="N34" s="229"/>
      <c r="O34" s="229"/>
      <c r="P34" s="229"/>
      <c r="Q34" s="229"/>
      <c r="R34" s="501" t="s">
        <v>273</v>
      </c>
      <c r="S34" s="501"/>
      <c r="T34" s="501"/>
      <c r="U34" s="501" t="s">
        <v>272</v>
      </c>
      <c r="V34" s="501"/>
      <c r="W34" s="501"/>
      <c r="X34" s="237" t="s">
        <v>274</v>
      </c>
      <c r="Y34" s="230"/>
    </row>
    <row r="35" spans="2:34" ht="39" customHeight="1" x14ac:dyDescent="0.2">
      <c r="B35" s="730"/>
      <c r="C35" s="733"/>
      <c r="D35" s="33" t="s">
        <v>129</v>
      </c>
      <c r="E35" s="34"/>
      <c r="F35" s="227">
        <f t="shared" si="0"/>
        <v>0</v>
      </c>
      <c r="G35" s="786"/>
      <c r="H35" s="70"/>
      <c r="J35" s="739"/>
      <c r="K35" s="13"/>
      <c r="L35" s="476"/>
      <c r="M35" s="476"/>
      <c r="N35" s="476"/>
      <c r="O35" s="229"/>
      <c r="P35" s="229"/>
      <c r="Q35" s="229"/>
      <c r="R35" s="230" t="s">
        <v>47</v>
      </c>
      <c r="S35" s="230">
        <v>0</v>
      </c>
      <c r="T35" s="501"/>
      <c r="U35" s="230" t="s">
        <v>47</v>
      </c>
      <c r="V35" s="230">
        <v>0</v>
      </c>
      <c r="W35" s="501"/>
      <c r="X35" s="230" t="s">
        <v>47</v>
      </c>
      <c r="Y35" s="230">
        <v>0</v>
      </c>
    </row>
    <row r="36" spans="2:34" ht="49.5" customHeight="1" x14ac:dyDescent="0.2">
      <c r="B36" s="730"/>
      <c r="C36" s="733"/>
      <c r="D36" s="33" t="s">
        <v>243</v>
      </c>
      <c r="E36" s="34"/>
      <c r="F36" s="227">
        <f t="shared" si="0"/>
        <v>0</v>
      </c>
      <c r="G36" s="786"/>
      <c r="H36" s="70"/>
      <c r="J36" s="739"/>
      <c r="K36" s="13"/>
      <c r="L36" s="476"/>
      <c r="M36" s="476"/>
      <c r="N36" s="476"/>
      <c r="O36" s="476"/>
      <c r="P36" s="229"/>
      <c r="Q36" s="229"/>
      <c r="R36" s="230" t="s">
        <v>70</v>
      </c>
      <c r="S36" s="230">
        <v>5</v>
      </c>
      <c r="T36" s="501"/>
      <c r="U36" s="230" t="s">
        <v>70</v>
      </c>
      <c r="V36" s="230">
        <v>5</v>
      </c>
      <c r="W36" s="501"/>
      <c r="X36" s="230" t="s">
        <v>70</v>
      </c>
      <c r="Y36" s="230">
        <v>5</v>
      </c>
    </row>
    <row r="37" spans="2:34" ht="39.75" customHeight="1" x14ac:dyDescent="0.2">
      <c r="B37" s="730"/>
      <c r="C37" s="768"/>
      <c r="D37" s="33" t="s">
        <v>130</v>
      </c>
      <c r="E37" s="34"/>
      <c r="F37" s="227">
        <f>IFERROR(VLOOKUP(E37,$U$35:$V$40,2,0),0)</f>
        <v>0</v>
      </c>
      <c r="G37" s="796"/>
      <c r="H37" s="70"/>
      <c r="J37" s="739"/>
      <c r="K37" s="13"/>
      <c r="L37" s="229"/>
      <c r="M37" s="229"/>
      <c r="N37" s="229"/>
      <c r="O37" s="476"/>
      <c r="P37" s="229"/>
      <c r="Q37" s="229"/>
      <c r="R37" s="230" t="s">
        <v>71</v>
      </c>
      <c r="S37" s="230">
        <v>15</v>
      </c>
      <c r="T37" s="501"/>
      <c r="U37" s="230" t="s">
        <v>71</v>
      </c>
      <c r="V37" s="230">
        <v>15</v>
      </c>
      <c r="W37" s="501"/>
      <c r="X37" s="230" t="s">
        <v>71</v>
      </c>
      <c r="Y37" s="230">
        <v>15</v>
      </c>
    </row>
    <row r="38" spans="2:34" ht="48.75" customHeight="1" x14ac:dyDescent="0.2">
      <c r="B38" s="730"/>
      <c r="C38" s="772" t="s">
        <v>134</v>
      </c>
      <c r="D38" s="48"/>
      <c r="E38" s="34"/>
      <c r="F38" s="187">
        <f>IFERROR(VLOOKUP(E38,U35:V40,2,0),0)</f>
        <v>0</v>
      </c>
      <c r="G38" s="774"/>
      <c r="H38" s="67"/>
      <c r="J38" s="739"/>
      <c r="K38" s="13"/>
      <c r="L38" s="229"/>
      <c r="M38" s="229"/>
      <c r="N38" s="229"/>
      <c r="O38" s="229"/>
      <c r="P38" s="229"/>
      <c r="Q38" s="229"/>
      <c r="R38" s="230" t="s">
        <v>48</v>
      </c>
      <c r="S38" s="230">
        <v>25</v>
      </c>
      <c r="T38" s="501"/>
      <c r="U38" s="230" t="s">
        <v>48</v>
      </c>
      <c r="V38" s="230">
        <v>30</v>
      </c>
      <c r="W38" s="501"/>
      <c r="X38" s="230" t="s">
        <v>48</v>
      </c>
      <c r="Y38" s="230">
        <v>35</v>
      </c>
    </row>
    <row r="39" spans="2:34" ht="39.75" customHeight="1" thickBot="1" x14ac:dyDescent="0.25">
      <c r="B39" s="731"/>
      <c r="C39" s="773"/>
      <c r="D39" s="38"/>
      <c r="E39" s="42"/>
      <c r="F39" s="187">
        <f>IFERROR(VLOOKUP(E39,U35:V40,2,0),0)</f>
        <v>0</v>
      </c>
      <c r="G39" s="775"/>
      <c r="H39" s="67"/>
      <c r="J39" s="740"/>
      <c r="K39" s="13"/>
      <c r="L39" s="229"/>
      <c r="M39" s="229"/>
      <c r="N39" s="229"/>
      <c r="O39" s="229"/>
      <c r="P39" s="229"/>
      <c r="Q39" s="229"/>
      <c r="R39" s="230" t="s">
        <v>92</v>
      </c>
      <c r="S39" s="230" t="s">
        <v>72</v>
      </c>
      <c r="T39" s="501"/>
      <c r="U39" s="230" t="s">
        <v>92</v>
      </c>
      <c r="V39" s="230" t="s">
        <v>72</v>
      </c>
      <c r="W39" s="501"/>
      <c r="X39" s="230" t="s">
        <v>92</v>
      </c>
      <c r="Y39" s="230" t="s">
        <v>72</v>
      </c>
    </row>
    <row r="40" spans="2:34" ht="47.25" customHeight="1" thickBot="1" x14ac:dyDescent="0.25">
      <c r="B40" s="444" t="s">
        <v>30</v>
      </c>
      <c r="C40" s="30" t="s">
        <v>404</v>
      </c>
      <c r="D40" s="744"/>
      <c r="E40" s="745"/>
      <c r="F40" s="216" t="s">
        <v>72</v>
      </c>
      <c r="G40" s="217"/>
      <c r="H40" s="186"/>
      <c r="J40" s="738" t="s">
        <v>136</v>
      </c>
      <c r="K40" s="13"/>
      <c r="L40" s="229"/>
      <c r="M40" s="229"/>
      <c r="N40" s="229"/>
      <c r="O40" s="229"/>
      <c r="P40" s="229"/>
      <c r="Q40" s="229"/>
      <c r="R40" s="230" t="s">
        <v>49</v>
      </c>
      <c r="S40" s="230">
        <v>35</v>
      </c>
      <c r="T40" s="501"/>
      <c r="U40" s="230" t="s">
        <v>49</v>
      </c>
      <c r="V40" s="230">
        <v>45</v>
      </c>
      <c r="W40" s="501"/>
      <c r="X40" s="230" t="s">
        <v>49</v>
      </c>
      <c r="Y40" s="230">
        <v>54</v>
      </c>
    </row>
    <row r="41" spans="2:34" ht="47.25" customHeight="1" thickBot="1" x14ac:dyDescent="0.25">
      <c r="B41" s="448" t="s">
        <v>32</v>
      </c>
      <c r="C41" s="449" t="s">
        <v>403</v>
      </c>
      <c r="D41" s="764"/>
      <c r="E41" s="765"/>
      <c r="F41" s="216" t="s">
        <v>72</v>
      </c>
      <c r="G41" s="217"/>
      <c r="H41" s="186"/>
      <c r="J41" s="740"/>
      <c r="K41" s="13"/>
      <c r="L41" s="229"/>
      <c r="M41" s="229"/>
      <c r="N41" s="229"/>
      <c r="O41" s="229"/>
      <c r="P41" s="229"/>
      <c r="Q41" s="229"/>
      <c r="R41" s="229"/>
      <c r="S41" s="229"/>
      <c r="T41" s="229"/>
      <c r="U41" s="229"/>
      <c r="V41" s="229"/>
      <c r="W41" s="229"/>
      <c r="X41" s="15"/>
      <c r="AC41" s="476"/>
      <c r="AD41" s="476"/>
      <c r="AE41" s="476"/>
      <c r="AF41" s="476"/>
      <c r="AG41" s="476"/>
      <c r="AH41" s="476"/>
    </row>
    <row r="42" spans="2:34" ht="39.75" customHeight="1" thickBot="1" x14ac:dyDescent="0.25">
      <c r="B42" s="20"/>
      <c r="C42" s="58"/>
      <c r="D42" s="222"/>
      <c r="E42" s="223"/>
      <c r="J42" s="58"/>
      <c r="K42" s="13"/>
      <c r="L42" s="229"/>
      <c r="M42" s="229"/>
      <c r="N42" s="229"/>
      <c r="O42" s="229"/>
      <c r="P42" s="229"/>
      <c r="Q42" s="229"/>
      <c r="R42" s="229"/>
      <c r="S42" s="229"/>
      <c r="T42" s="229"/>
      <c r="U42" s="229"/>
      <c r="V42" s="229"/>
      <c r="W42" s="229"/>
      <c r="X42" s="15"/>
      <c r="AD42" s="476"/>
      <c r="AE42" s="476"/>
      <c r="AF42" s="476"/>
      <c r="AG42" s="476"/>
      <c r="AH42" s="476"/>
    </row>
    <row r="43" spans="2:34" ht="32.25" customHeight="1" thickBot="1" x14ac:dyDescent="0.25">
      <c r="B43" s="646" t="str">
        <f>IF('% Habitat Score'!I51=" ","Other field boundary habitats: stone walls (dry, ruined or mortared) and earth banks/brus.
Your farm only has hedgerows as field boundaries, please move onto the next page by clicking on the blue button below.","Other field boundary habitats: stone walls (dry, ruined or mortared) and earth banks/brus.")</f>
        <v>Other field boundary habitats: stone walls (dry, ruined or mortared) and earth banks/brus.</v>
      </c>
      <c r="C43" s="588"/>
      <c r="D43" s="588"/>
      <c r="E43" s="589"/>
      <c r="F43" s="74"/>
      <c r="G43" s="74"/>
      <c r="H43" s="75"/>
      <c r="J43" s="58"/>
      <c r="K43" s="13"/>
      <c r="L43" s="229"/>
      <c r="M43" s="229"/>
      <c r="N43" s="229"/>
      <c r="O43" s="229"/>
      <c r="P43" s="229"/>
      <c r="Q43" s="229"/>
      <c r="R43" s="229"/>
      <c r="S43" s="229"/>
      <c r="T43" s="229"/>
      <c r="U43" s="229"/>
      <c r="V43" s="229"/>
      <c r="W43" s="229"/>
      <c r="X43" s="173"/>
    </row>
    <row r="44" spans="2:34" ht="34.5" customHeight="1" x14ac:dyDescent="0.2">
      <c r="B44" s="795">
        <v>3.4</v>
      </c>
      <c r="C44" s="600" t="s">
        <v>174</v>
      </c>
      <c r="D44" s="224" t="s">
        <v>177</v>
      </c>
      <c r="E44" s="235" t="e">
        <f>'% Habitat Score'!G51</f>
        <v>#VALUE!</v>
      </c>
      <c r="F44" s="218"/>
      <c r="G44" s="219"/>
      <c r="H44" s="70"/>
      <c r="J44" s="749" t="s">
        <v>427</v>
      </c>
      <c r="K44" s="13"/>
      <c r="L44" s="229"/>
      <c r="M44" s="229"/>
      <c r="N44" s="229"/>
      <c r="O44" s="229"/>
      <c r="P44" s="229"/>
      <c r="Q44" s="229"/>
      <c r="R44" s="229"/>
      <c r="S44" s="229"/>
      <c r="T44" s="229"/>
      <c r="U44" s="229"/>
      <c r="V44" s="229"/>
      <c r="W44" s="229"/>
      <c r="X44" s="173"/>
    </row>
    <row r="45" spans="2:34" ht="37.5" customHeight="1" x14ac:dyDescent="0.2">
      <c r="B45" s="730"/>
      <c r="C45" s="600"/>
      <c r="D45" s="224" t="s">
        <v>176</v>
      </c>
      <c r="E45" s="241">
        <f>'% Habitat Score'!H51</f>
        <v>2</v>
      </c>
      <c r="F45" s="218"/>
      <c r="G45" s="219"/>
      <c r="H45" s="70"/>
      <c r="I45" s="236"/>
      <c r="J45" s="749"/>
      <c r="K45" s="13"/>
      <c r="L45" s="229"/>
      <c r="M45" s="229"/>
      <c r="N45" s="229"/>
      <c r="O45" s="229"/>
      <c r="P45" s="229"/>
      <c r="Q45" s="229"/>
      <c r="R45" s="229"/>
      <c r="S45" s="229"/>
      <c r="T45" s="229"/>
      <c r="U45" s="229"/>
      <c r="V45" s="229"/>
      <c r="W45" s="229"/>
      <c r="X45" s="173"/>
    </row>
    <row r="46" spans="2:34" ht="46.5" customHeight="1" thickBot="1" x14ac:dyDescent="0.25">
      <c r="B46" s="731"/>
      <c r="C46" s="602"/>
      <c r="D46" s="238" t="s">
        <v>175</v>
      </c>
      <c r="E46" s="291" t="str">
        <f>IFERROR((E44*E45)/10000, "Continue to the next page")</f>
        <v>Continue to the next page</v>
      </c>
      <c r="F46" s="220"/>
      <c r="G46" s="221"/>
      <c r="H46" s="242" t="str">
        <f>E46</f>
        <v>Continue to the next page</v>
      </c>
      <c r="J46" s="749"/>
      <c r="K46" s="13"/>
      <c r="L46" s="229"/>
      <c r="M46" s="229"/>
      <c r="N46" s="229"/>
      <c r="O46" s="229"/>
      <c r="P46" s="229"/>
      <c r="Q46" s="229"/>
      <c r="R46" s="229"/>
      <c r="S46" s="229"/>
      <c r="T46" s="229"/>
      <c r="U46" s="229"/>
      <c r="V46" s="229"/>
      <c r="W46" s="229"/>
      <c r="X46" s="173"/>
    </row>
    <row r="47" spans="2:34" ht="37.5" customHeight="1" x14ac:dyDescent="0.2">
      <c r="B47" s="729" t="s">
        <v>98</v>
      </c>
      <c r="C47" s="797" t="s">
        <v>178</v>
      </c>
      <c r="D47" s="53" t="s">
        <v>248</v>
      </c>
      <c r="E47" s="40"/>
      <c r="F47" s="185">
        <f>IFERROR(VLOOKUP(E47,$X$35:$Y$40,2,0),0)</f>
        <v>0</v>
      </c>
      <c r="G47" s="785">
        <v>160</v>
      </c>
      <c r="H47" s="186"/>
      <c r="J47" s="738" t="s">
        <v>429</v>
      </c>
      <c r="K47" s="13"/>
      <c r="L47" s="229"/>
      <c r="M47" s="229"/>
      <c r="N47" s="229"/>
      <c r="O47" s="229"/>
      <c r="P47" s="229"/>
      <c r="Q47" s="229"/>
      <c r="R47" s="229"/>
      <c r="S47" s="229"/>
      <c r="T47" s="229"/>
      <c r="U47" s="229"/>
      <c r="V47" s="229"/>
      <c r="W47" s="229"/>
      <c r="X47" s="173"/>
    </row>
    <row r="48" spans="2:34" ht="48" customHeight="1" x14ac:dyDescent="0.2">
      <c r="B48" s="730"/>
      <c r="C48" s="778"/>
      <c r="D48" s="33" t="s">
        <v>31</v>
      </c>
      <c r="E48" s="34"/>
      <c r="F48" s="133">
        <f t="shared" ref="F48:F51" si="1">IFERROR(VLOOKUP(E48,$X$35:$Y$40,2,0),0)</f>
        <v>0</v>
      </c>
      <c r="G48" s="786"/>
      <c r="H48" s="70"/>
      <c r="J48" s="739"/>
      <c r="K48" s="13"/>
      <c r="L48" s="229"/>
      <c r="M48" s="229"/>
      <c r="N48" s="229"/>
      <c r="O48" s="229"/>
      <c r="P48" s="229"/>
      <c r="Q48" s="229"/>
      <c r="R48" s="229"/>
      <c r="S48" s="229"/>
      <c r="T48" s="229"/>
      <c r="U48" s="229"/>
      <c r="V48" s="229"/>
      <c r="W48" s="229"/>
      <c r="X48" s="15"/>
    </row>
    <row r="49" spans="2:24" ht="48" customHeight="1" x14ac:dyDescent="0.2">
      <c r="B49" s="730"/>
      <c r="C49" s="798"/>
      <c r="D49" s="33" t="s">
        <v>121</v>
      </c>
      <c r="E49" s="34"/>
      <c r="F49" s="133">
        <f t="shared" si="1"/>
        <v>0</v>
      </c>
      <c r="G49" s="796"/>
      <c r="H49" s="70"/>
      <c r="J49" s="739"/>
      <c r="K49" s="13"/>
      <c r="L49" s="229"/>
      <c r="M49" s="229"/>
      <c r="N49" s="229"/>
      <c r="O49" s="229"/>
      <c r="P49" s="229"/>
      <c r="Q49" s="229"/>
      <c r="R49" s="229"/>
      <c r="S49" s="229"/>
      <c r="T49" s="229"/>
      <c r="U49" s="229"/>
      <c r="V49" s="229"/>
      <c r="W49" s="229"/>
      <c r="X49" s="15"/>
    </row>
    <row r="50" spans="2:24" ht="48" customHeight="1" x14ac:dyDescent="0.2">
      <c r="B50" s="730"/>
      <c r="C50" s="772" t="s">
        <v>134</v>
      </c>
      <c r="D50" s="35"/>
      <c r="E50" s="34"/>
      <c r="F50" s="133">
        <f t="shared" si="1"/>
        <v>0</v>
      </c>
      <c r="G50" s="774"/>
      <c r="H50" s="67"/>
      <c r="J50" s="739"/>
      <c r="K50" s="13"/>
      <c r="L50" s="229"/>
      <c r="M50" s="229"/>
      <c r="N50" s="229"/>
      <c r="O50" s="229"/>
      <c r="P50" s="229"/>
      <c r="Q50" s="229"/>
      <c r="R50" s="229"/>
      <c r="S50" s="229"/>
      <c r="T50" s="229"/>
      <c r="U50" s="229"/>
      <c r="V50" s="229"/>
      <c r="W50" s="229"/>
      <c r="X50" s="15"/>
    </row>
    <row r="51" spans="2:24" ht="36.75" customHeight="1" thickBot="1" x14ac:dyDescent="0.25">
      <c r="B51" s="731"/>
      <c r="C51" s="773"/>
      <c r="D51" s="36"/>
      <c r="E51" s="42"/>
      <c r="F51" s="134">
        <f t="shared" si="1"/>
        <v>0</v>
      </c>
      <c r="G51" s="775"/>
      <c r="H51" s="73"/>
      <c r="J51" s="740"/>
      <c r="K51" s="13"/>
      <c r="L51" s="229"/>
      <c r="M51" s="229"/>
      <c r="N51" s="229"/>
      <c r="O51" s="229"/>
      <c r="P51" s="229"/>
      <c r="Q51" s="229"/>
      <c r="R51" s="229"/>
      <c r="S51" s="229"/>
      <c r="T51" s="229"/>
      <c r="U51" s="229"/>
      <c r="V51" s="229"/>
      <c r="W51" s="229"/>
      <c r="X51" s="15"/>
    </row>
    <row r="52" spans="2:24" ht="34.5" customHeight="1" thickBot="1" x14ac:dyDescent="0.25">
      <c r="E52" s="43" t="s">
        <v>50</v>
      </c>
      <c r="F52" s="243">
        <f>MIN(G52,(SUM(F3:F51)))</f>
        <v>0</v>
      </c>
      <c r="G52" s="244">
        <f>SUM(G3:G51)</f>
        <v>880</v>
      </c>
      <c r="H52" s="245">
        <f>SUM(H3:H51)</f>
        <v>0</v>
      </c>
      <c r="J52" s="58"/>
      <c r="K52" s="13"/>
      <c r="L52" s="229"/>
      <c r="M52" s="229"/>
      <c r="N52" s="229"/>
      <c r="O52" s="229"/>
      <c r="P52" s="229"/>
      <c r="Q52" s="229"/>
      <c r="R52" s="229"/>
      <c r="S52" s="229"/>
      <c r="T52" s="229"/>
      <c r="U52" s="229"/>
      <c r="V52" s="229"/>
      <c r="W52" s="229"/>
      <c r="X52" s="15"/>
    </row>
    <row r="53" spans="2:24" ht="34.5" hidden="1" customHeight="1" thickBot="1" x14ac:dyDescent="0.25">
      <c r="E53" s="43" t="s">
        <v>46</v>
      </c>
      <c r="F53" s="246">
        <f>F52/G52*100</f>
        <v>0</v>
      </c>
      <c r="G53" s="247"/>
      <c r="H53" s="119"/>
      <c r="O53" s="229"/>
      <c r="P53" s="229"/>
      <c r="Q53" s="229"/>
      <c r="R53" s="229"/>
      <c r="S53" s="229"/>
      <c r="T53" s="229"/>
      <c r="U53" s="229"/>
      <c r="V53" s="229"/>
      <c r="W53" s="229"/>
      <c r="X53" s="15"/>
    </row>
    <row r="54" spans="2:24" ht="34.5" hidden="1" customHeight="1" thickBot="1" x14ac:dyDescent="0.25">
      <c r="X54" s="15"/>
    </row>
    <row r="55" spans="2:24" hidden="1" x14ac:dyDescent="0.2">
      <c r="X55" s="15"/>
    </row>
    <row r="56" spans="2:24" hidden="1" x14ac:dyDescent="0.2">
      <c r="X56" s="15"/>
    </row>
    <row r="57" spans="2:24" hidden="1" x14ac:dyDescent="0.2">
      <c r="X57" s="15"/>
    </row>
    <row r="58" spans="2:24" hidden="1" x14ac:dyDescent="0.2">
      <c r="X58" s="15"/>
    </row>
    <row r="59" spans="2:24" hidden="1" x14ac:dyDescent="0.2">
      <c r="X59" s="15"/>
    </row>
    <row r="60" spans="2:24" hidden="1" x14ac:dyDescent="0.2">
      <c r="X60" s="15"/>
    </row>
    <row r="61" spans="2:24" hidden="1" x14ac:dyDescent="0.2">
      <c r="X61" s="15"/>
    </row>
    <row r="62" spans="2:24" hidden="1" x14ac:dyDescent="0.2">
      <c r="X62" s="15"/>
    </row>
    <row r="63" spans="2:24" hidden="1" x14ac:dyDescent="0.2">
      <c r="X63" s="15"/>
    </row>
    <row r="64" spans="2:24" hidden="1" x14ac:dyDescent="0.2">
      <c r="X64" s="15"/>
    </row>
    <row r="65" spans="24:24" hidden="1" x14ac:dyDescent="0.2">
      <c r="X65" s="15"/>
    </row>
    <row r="66" spans="24:24" hidden="1" x14ac:dyDescent="0.2">
      <c r="X66" s="15"/>
    </row>
    <row r="67" spans="24:24" hidden="1" x14ac:dyDescent="0.2">
      <c r="X67" s="15"/>
    </row>
    <row r="68" spans="24:24" hidden="1" x14ac:dyDescent="0.2">
      <c r="X68" s="15"/>
    </row>
    <row r="69" spans="24:24" hidden="1" x14ac:dyDescent="0.2">
      <c r="X69" s="15"/>
    </row>
    <row r="70" spans="24:24" hidden="1" x14ac:dyDescent="0.2">
      <c r="X70" s="15"/>
    </row>
    <row r="71" spans="24:24" hidden="1" x14ac:dyDescent="0.2">
      <c r="X71" s="15"/>
    </row>
    <row r="72" spans="24:24" hidden="1" x14ac:dyDescent="0.2">
      <c r="X72" s="15"/>
    </row>
    <row r="73" spans="24:24" hidden="1" x14ac:dyDescent="0.2">
      <c r="X73" s="15"/>
    </row>
    <row r="74" spans="24:24" hidden="1" x14ac:dyDescent="0.2">
      <c r="X74" s="15"/>
    </row>
    <row r="75" spans="24:24" hidden="1" x14ac:dyDescent="0.2">
      <c r="X75" s="15"/>
    </row>
    <row r="76" spans="24:24" hidden="1" x14ac:dyDescent="0.2">
      <c r="X76" s="15"/>
    </row>
    <row r="77" spans="24:24" hidden="1" x14ac:dyDescent="0.2">
      <c r="X77" s="15"/>
    </row>
    <row r="78" spans="24:24" hidden="1" x14ac:dyDescent="0.2">
      <c r="X78" s="15"/>
    </row>
    <row r="79" spans="24:24" hidden="1" x14ac:dyDescent="0.2">
      <c r="X79" s="15"/>
    </row>
    <row r="80" spans="24:24" hidden="1" x14ac:dyDescent="0.2">
      <c r="X80" s="15"/>
    </row>
    <row r="81" spans="24:24" hidden="1" x14ac:dyDescent="0.2">
      <c r="X81" s="15"/>
    </row>
    <row r="82" spans="24:24" hidden="1" x14ac:dyDescent="0.2">
      <c r="X82" s="15"/>
    </row>
    <row r="83" spans="24:24" hidden="1" x14ac:dyDescent="0.2">
      <c r="X83" s="15"/>
    </row>
    <row r="84" spans="24:24" hidden="1" x14ac:dyDescent="0.2">
      <c r="X84" s="15"/>
    </row>
    <row r="85" spans="24:24" hidden="1" x14ac:dyDescent="0.2">
      <c r="X85" s="15"/>
    </row>
    <row r="86" spans="24:24" hidden="1" x14ac:dyDescent="0.2">
      <c r="X86" s="173"/>
    </row>
    <row r="87" spans="24:24" hidden="1" x14ac:dyDescent="0.2">
      <c r="X87" s="173"/>
    </row>
    <row r="88" spans="24:24" hidden="1" x14ac:dyDescent="0.2">
      <c r="X88" s="173"/>
    </row>
    <row r="89" spans="24:24" hidden="1" x14ac:dyDescent="0.2">
      <c r="X89" s="173"/>
    </row>
    <row r="90" spans="24:24" hidden="1" x14ac:dyDescent="0.2">
      <c r="X90" s="173"/>
    </row>
    <row r="91" spans="24:24" hidden="1" x14ac:dyDescent="0.2">
      <c r="X91" s="173"/>
    </row>
    <row r="92" spans="24:24" hidden="1" x14ac:dyDescent="0.2">
      <c r="X92" s="173"/>
    </row>
    <row r="93" spans="24:24" hidden="1" x14ac:dyDescent="0.2">
      <c r="X93" s="173"/>
    </row>
    <row r="94" spans="24:24" hidden="1" x14ac:dyDescent="0.2">
      <c r="X94" s="173"/>
    </row>
    <row r="95" spans="24:24" hidden="1" x14ac:dyDescent="0.2">
      <c r="X95" s="173"/>
    </row>
    <row r="96" spans="24:24" x14ac:dyDescent="0.2">
      <c r="X96" s="173"/>
    </row>
    <row r="97" spans="24:24" hidden="1" x14ac:dyDescent="0.2">
      <c r="X97" s="173"/>
    </row>
    <row r="98" spans="24:24" hidden="1" x14ac:dyDescent="0.2">
      <c r="X98" s="173"/>
    </row>
    <row r="99" spans="24:24" hidden="1" x14ac:dyDescent="0.2">
      <c r="X99" s="173"/>
    </row>
    <row r="100" spans="24:24" hidden="1" x14ac:dyDescent="0.2">
      <c r="X100" s="173"/>
    </row>
    <row r="101" spans="24:24" hidden="1" x14ac:dyDescent="0.2">
      <c r="X101" s="173"/>
    </row>
    <row r="102" spans="24:24" hidden="1" x14ac:dyDescent="0.2">
      <c r="X102" s="173"/>
    </row>
    <row r="103" spans="24:24" hidden="1" x14ac:dyDescent="0.2">
      <c r="X103" s="173"/>
    </row>
    <row r="104" spans="24:24" hidden="1" x14ac:dyDescent="0.2">
      <c r="X104" s="173"/>
    </row>
    <row r="105" spans="24:24" hidden="1" x14ac:dyDescent="0.2">
      <c r="X105" s="173"/>
    </row>
    <row r="106" spans="24:24" hidden="1" x14ac:dyDescent="0.2">
      <c r="X106" s="173"/>
    </row>
    <row r="107" spans="24:24" hidden="1" x14ac:dyDescent="0.2">
      <c r="X107" s="173"/>
    </row>
    <row r="108" spans="24:24" hidden="1" x14ac:dyDescent="0.2">
      <c r="X108" s="173"/>
    </row>
    <row r="109" spans="24:24" hidden="1" x14ac:dyDescent="0.2">
      <c r="X109" s="173"/>
    </row>
    <row r="110" spans="24:24" hidden="1" x14ac:dyDescent="0.2">
      <c r="X110" s="173"/>
    </row>
    <row r="111" spans="24:24" hidden="1" x14ac:dyDescent="0.2">
      <c r="X111" s="173"/>
    </row>
    <row r="112" spans="24:24" hidden="1" x14ac:dyDescent="0.2">
      <c r="X112" s="173"/>
    </row>
    <row r="113" spans="24:24" hidden="1" x14ac:dyDescent="0.2">
      <c r="X113" s="173"/>
    </row>
    <row r="114" spans="24:24" hidden="1" x14ac:dyDescent="0.2">
      <c r="X114" s="173"/>
    </row>
    <row r="115" spans="24:24" hidden="1" x14ac:dyDescent="0.2">
      <c r="X115" s="173"/>
    </row>
    <row r="116" spans="24:24" hidden="1" x14ac:dyDescent="0.2">
      <c r="X116" s="173"/>
    </row>
    <row r="117" spans="24:24" hidden="1" x14ac:dyDescent="0.2">
      <c r="X117" s="173"/>
    </row>
    <row r="118" spans="24:24" hidden="1" x14ac:dyDescent="0.2">
      <c r="X118" s="173"/>
    </row>
    <row r="119" spans="24:24" hidden="1" x14ac:dyDescent="0.2">
      <c r="X119" s="173"/>
    </row>
    <row r="120" spans="24:24" hidden="1" x14ac:dyDescent="0.2">
      <c r="X120" s="173"/>
    </row>
    <row r="121" spans="24:24" hidden="1" x14ac:dyDescent="0.2">
      <c r="X121" s="173"/>
    </row>
    <row r="122" spans="24:24" hidden="1" x14ac:dyDescent="0.2">
      <c r="X122" s="173"/>
    </row>
    <row r="123" spans="24:24" hidden="1" x14ac:dyDescent="0.2">
      <c r="X123" s="173"/>
    </row>
    <row r="124" spans="24:24" x14ac:dyDescent="0.2">
      <c r="X124" s="173"/>
    </row>
    <row r="125" spans="24:24" x14ac:dyDescent="0.2">
      <c r="X125" s="173"/>
    </row>
    <row r="126" spans="24:24" x14ac:dyDescent="0.2">
      <c r="X126" s="173"/>
    </row>
    <row r="127" spans="24:24" x14ac:dyDescent="0.2">
      <c r="X127" s="173"/>
    </row>
    <row r="128" spans="24:24" x14ac:dyDescent="0.2">
      <c r="X128" s="173"/>
    </row>
    <row r="129" spans="24:24" x14ac:dyDescent="0.2">
      <c r="X129" s="173"/>
    </row>
    <row r="130" spans="24:24" x14ac:dyDescent="0.2">
      <c r="X130" s="173"/>
    </row>
    <row r="131" spans="24:24" x14ac:dyDescent="0.2">
      <c r="X131" s="173"/>
    </row>
    <row r="132" spans="24:24" x14ac:dyDescent="0.2">
      <c r="X132" s="173"/>
    </row>
    <row r="133" spans="24:24" x14ac:dyDescent="0.2">
      <c r="X133" s="173"/>
    </row>
  </sheetData>
  <sheetProtection algorithmName="SHA-512" hashValue="W5E+wXmvnvZRsezurp48mwlGwyaRTzO4ne6kzIyB3vUBXpVh0YE0rt1O8ZfYVaL+bcyRl3jmUuRlywGEi+QGFA==" saltValue="V5z6mFHhlEGAWOE4RtDkNw==" spinCount="100000" sheet="1" objects="1" scenarios="1" selectLockedCells="1"/>
  <dataConsolidate link="1"/>
  <mergeCells count="42">
    <mergeCell ref="AD24:AI24"/>
    <mergeCell ref="J30:J39"/>
    <mergeCell ref="O28:T28"/>
    <mergeCell ref="J27:J29"/>
    <mergeCell ref="J40:J41"/>
    <mergeCell ref="J44:J46"/>
    <mergeCell ref="G50:G51"/>
    <mergeCell ref="B43:E43"/>
    <mergeCell ref="C30:C37"/>
    <mergeCell ref="B30:B39"/>
    <mergeCell ref="G38:G39"/>
    <mergeCell ref="G30:G37"/>
    <mergeCell ref="B47:B51"/>
    <mergeCell ref="C47:C49"/>
    <mergeCell ref="G47:G49"/>
    <mergeCell ref="J47:J51"/>
    <mergeCell ref="C50:C51"/>
    <mergeCell ref="C24:D24"/>
    <mergeCell ref="B44:B46"/>
    <mergeCell ref="D41:E41"/>
    <mergeCell ref="D40:E40"/>
    <mergeCell ref="B27:B29"/>
    <mergeCell ref="C27:C29"/>
    <mergeCell ref="B26:E26"/>
    <mergeCell ref="C38:C39"/>
    <mergeCell ref="C44:C46"/>
    <mergeCell ref="J3:J5"/>
    <mergeCell ref="C14:C16"/>
    <mergeCell ref="B12:E12"/>
    <mergeCell ref="B17:B23"/>
    <mergeCell ref="J14:J16"/>
    <mergeCell ref="J6:J10"/>
    <mergeCell ref="B14:B16"/>
    <mergeCell ref="C13:D13"/>
    <mergeCell ref="J17:J23"/>
    <mergeCell ref="B2:D2"/>
    <mergeCell ref="C3:C5"/>
    <mergeCell ref="C6:C10"/>
    <mergeCell ref="C17:C22"/>
    <mergeCell ref="G17:G22"/>
    <mergeCell ref="G3:G9"/>
    <mergeCell ref="B3:B10"/>
  </mergeCells>
  <dataValidations count="6">
    <dataValidation type="list" allowBlank="1" showInputMessage="1" showErrorMessage="1" sqref="E21 E19 E3:E5 E24:E25" xr:uid="{00000000-0002-0000-0500-000000000000}">
      <formula1>"Yes, No"</formula1>
    </dataValidation>
    <dataValidation type="list" allowBlank="1" showInputMessage="1" showErrorMessage="1" sqref="E17:E18 E30:E39 E22:E23" xr:uid="{00000000-0002-0000-0500-000002000000}">
      <formula1>"Always, Often, Sometimes, Rarely, Never"</formula1>
    </dataValidation>
    <dataValidation type="list" allowBlank="1" showInputMessage="1" showErrorMessage="1" sqref="E13" xr:uid="{00000000-0002-0000-0500-000003000000}">
      <formula1>"Yes, No (Go to question 3.3)"</formula1>
    </dataValidation>
    <dataValidation type="list" allowBlank="1" showInputMessage="1" showErrorMessage="1" sqref="E20 E47:E51" xr:uid="{00000000-0002-0000-0500-000005000000}">
      <formula1>"Always, Often, Sometimes, Rarely, Never, N/A"</formula1>
    </dataValidation>
    <dataValidation type="list" allowBlank="1" showInputMessage="1" showErrorMessage="1" sqref="D41" xr:uid="{E3444A6A-69D9-4D77-BEB6-3F8F2AC3F824}">
      <formula1>"Yes - through hedge laying or coppicing and interplanting, No"</formula1>
    </dataValidation>
    <dataValidation type="list" allowBlank="1" showInputMessage="1" showErrorMessage="1" sqref="D40:E40" xr:uid="{667952B2-BA8B-4229-91A1-97CD8A893076}">
      <formula1>"Yes - Scope to plant new hedges to connect existing habitats, No - All field boundaries already have hedges/walls or sheughs"</formula1>
    </dataValidation>
  </dataValidations>
  <pageMargins left="0.7" right="0.7" top="0.75" bottom="0.75" header="0.3" footer="0.3"/>
  <pageSetup paperSize="9" orientation="portrait" r:id="rId1"/>
  <ignoredErrors>
    <ignoredError sqref="B11:E11 B16:D16 B13 B14 B15:E15 C12:E12 D14:E14 D13"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7FBBB-2752-4F7F-BFBE-ABF0ABFE9AFB}">
  <sheetPr codeName="Sheet12">
    <tabColor rgb="FFFFFF00"/>
  </sheetPr>
  <dimension ref="A1:XFC1065"/>
  <sheetViews>
    <sheetView showGridLines="0" showRowColHeaders="0" topLeftCell="B1" zoomScale="120" zoomScaleNormal="120" workbookViewId="0">
      <selection activeCell="E3" sqref="E3"/>
    </sheetView>
  </sheetViews>
  <sheetFormatPr defaultColWidth="0" defaultRowHeight="15" customHeight="1" zeroHeight="1" x14ac:dyDescent="0.2"/>
  <cols>
    <col min="1" max="1" width="3.42578125" style="10" hidden="1" customWidth="1"/>
    <col min="2" max="2" width="6.28515625" style="26" customWidth="1"/>
    <col min="3" max="3" width="39.140625" style="20" customWidth="1"/>
    <col min="4" max="4" width="45.140625" style="20" customWidth="1"/>
    <col min="5" max="5" width="16.140625" style="26" customWidth="1"/>
    <col min="6" max="6" width="6.140625" style="26" hidden="1" customWidth="1"/>
    <col min="7" max="7" width="6.85546875" style="26" hidden="1" customWidth="1"/>
    <col min="8" max="8" width="8.85546875" style="26" hidden="1" customWidth="1"/>
    <col min="9" max="9" width="30.7109375" style="10" customWidth="1"/>
    <col min="10" max="10" width="19.28515625" style="26" customWidth="1"/>
    <col min="11" max="11" width="26.140625" style="10" customWidth="1"/>
    <col min="12" max="16383" width="8.85546875" style="10" hidden="1"/>
    <col min="16384" max="16384" width="3" style="10" hidden="1"/>
  </cols>
  <sheetData>
    <row r="1" spans="2:32" ht="30.75" customHeight="1" thickBot="1" x14ac:dyDescent="0.25"/>
    <row r="2" spans="2:32" ht="36" customHeight="1" thickBot="1" x14ac:dyDescent="0.25">
      <c r="B2" s="723" t="s">
        <v>0</v>
      </c>
      <c r="C2" s="724"/>
      <c r="D2" s="725"/>
      <c r="E2" s="28" t="s">
        <v>301</v>
      </c>
      <c r="F2" s="149" t="s">
        <v>69</v>
      </c>
      <c r="G2" s="121" t="s">
        <v>43</v>
      </c>
      <c r="H2" s="122" t="s">
        <v>68</v>
      </c>
      <c r="I2" s="12"/>
      <c r="J2" s="21" t="s">
        <v>244</v>
      </c>
    </row>
    <row r="3" spans="2:32" ht="41.25" customHeight="1" x14ac:dyDescent="0.2">
      <c r="B3" s="804" t="s">
        <v>409</v>
      </c>
      <c r="C3" s="806" t="s">
        <v>201</v>
      </c>
      <c r="D3" s="53" t="s">
        <v>317</v>
      </c>
      <c r="E3" s="40"/>
      <c r="F3" s="123">
        <f t="shared" ref="F3:F8" si="0">IFERROR(VLOOKUP(E3,$AB$6:$AC$10,2,0),0)</f>
        <v>0</v>
      </c>
      <c r="G3" s="785">
        <v>560</v>
      </c>
      <c r="H3" s="128"/>
      <c r="J3" s="738" t="s">
        <v>430</v>
      </c>
    </row>
    <row r="4" spans="2:32" ht="36" customHeight="1" x14ac:dyDescent="0.2">
      <c r="B4" s="805"/>
      <c r="C4" s="807"/>
      <c r="D4" s="33" t="s">
        <v>250</v>
      </c>
      <c r="E4" s="34"/>
      <c r="F4" s="125">
        <f t="shared" si="0"/>
        <v>0</v>
      </c>
      <c r="G4" s="786"/>
      <c r="H4" s="129"/>
      <c r="J4" s="739"/>
    </row>
    <row r="5" spans="2:32" ht="36" customHeight="1" x14ac:dyDescent="0.2">
      <c r="B5" s="805"/>
      <c r="C5" s="807"/>
      <c r="D5" s="33" t="s">
        <v>249</v>
      </c>
      <c r="E5" s="34"/>
      <c r="F5" s="125">
        <f t="shared" si="0"/>
        <v>0</v>
      </c>
      <c r="G5" s="786"/>
      <c r="H5" s="129"/>
      <c r="J5" s="739"/>
      <c r="AE5" s="10" t="s">
        <v>255</v>
      </c>
    </row>
    <row r="6" spans="2:32" ht="36" customHeight="1" x14ac:dyDescent="0.2">
      <c r="B6" s="805"/>
      <c r="C6" s="807"/>
      <c r="D6" s="54" t="s">
        <v>262</v>
      </c>
      <c r="E6" s="34"/>
      <c r="F6" s="125">
        <f t="shared" si="0"/>
        <v>0</v>
      </c>
      <c r="G6" s="786"/>
      <c r="H6" s="129"/>
      <c r="I6" s="18"/>
      <c r="J6" s="739"/>
      <c r="L6" s="13"/>
      <c r="M6" s="13"/>
      <c r="N6" s="13"/>
      <c r="O6" s="13"/>
      <c r="P6" s="13"/>
      <c r="Q6" s="13"/>
      <c r="R6" s="13"/>
      <c r="S6" s="13"/>
      <c r="T6" s="13"/>
      <c r="U6" s="13"/>
      <c r="V6" s="13"/>
      <c r="W6" s="13"/>
      <c r="X6" s="13"/>
      <c r="Y6" s="13"/>
      <c r="Z6" s="13"/>
      <c r="AB6" s="14" t="s">
        <v>47</v>
      </c>
      <c r="AC6" s="14">
        <v>0</v>
      </c>
      <c r="AE6" s="14" t="s">
        <v>47</v>
      </c>
      <c r="AF6" s="14">
        <v>0</v>
      </c>
    </row>
    <row r="7" spans="2:32" ht="63" customHeight="1" x14ac:dyDescent="0.2">
      <c r="B7" s="805"/>
      <c r="C7" s="807"/>
      <c r="D7" s="33" t="s">
        <v>411</v>
      </c>
      <c r="E7" s="458"/>
      <c r="F7" s="125">
        <f t="shared" si="0"/>
        <v>0</v>
      </c>
      <c r="G7" s="786"/>
      <c r="H7" s="129"/>
      <c r="I7" s="18"/>
      <c r="J7" s="739"/>
      <c r="L7" s="11"/>
      <c r="M7" s="13"/>
      <c r="N7" s="13"/>
      <c r="O7" s="13"/>
      <c r="P7" s="13"/>
      <c r="Q7" s="13"/>
      <c r="R7" s="13"/>
      <c r="S7" s="13"/>
      <c r="T7" s="13"/>
      <c r="U7" s="13"/>
      <c r="V7" s="13"/>
      <c r="W7" s="13"/>
      <c r="X7" s="13"/>
      <c r="Y7" s="13"/>
      <c r="Z7" s="13"/>
      <c r="AB7" s="14" t="s">
        <v>70</v>
      </c>
      <c r="AC7" s="14">
        <v>5</v>
      </c>
      <c r="AE7" s="14" t="s">
        <v>70</v>
      </c>
      <c r="AF7" s="14">
        <v>0</v>
      </c>
    </row>
    <row r="8" spans="2:32" ht="41.25" customHeight="1" x14ac:dyDescent="0.2">
      <c r="B8" s="805"/>
      <c r="C8" s="807"/>
      <c r="D8" s="31" t="s">
        <v>295</v>
      </c>
      <c r="E8" s="34"/>
      <c r="F8" s="125">
        <f t="shared" si="0"/>
        <v>0</v>
      </c>
      <c r="G8" s="786"/>
      <c r="H8" s="129"/>
      <c r="I8" s="18"/>
      <c r="J8" s="739"/>
      <c r="L8" s="13"/>
      <c r="M8" s="13"/>
      <c r="N8" s="13"/>
      <c r="O8" s="13"/>
      <c r="P8" s="13"/>
      <c r="Q8" s="13"/>
      <c r="R8" s="13"/>
      <c r="S8" s="13"/>
      <c r="T8" s="13"/>
      <c r="U8" s="13"/>
      <c r="V8" s="13"/>
      <c r="W8" s="13"/>
      <c r="X8" s="13"/>
      <c r="Y8" s="13"/>
      <c r="Z8" s="13"/>
      <c r="AB8" s="14" t="s">
        <v>71</v>
      </c>
      <c r="AC8" s="14">
        <v>10</v>
      </c>
      <c r="AE8" s="14" t="s">
        <v>71</v>
      </c>
      <c r="AF8" s="14">
        <v>0</v>
      </c>
    </row>
    <row r="9" spans="2:32" ht="42" customHeight="1" x14ac:dyDescent="0.2">
      <c r="B9" s="805"/>
      <c r="C9" s="807"/>
      <c r="D9" s="33" t="s">
        <v>166</v>
      </c>
      <c r="E9" s="34"/>
      <c r="F9" s="125">
        <f>IFERROR(VLOOKUP(E9,AE6:AF11,2,0),0)</f>
        <v>0</v>
      </c>
      <c r="G9" s="786"/>
      <c r="H9" s="129"/>
      <c r="I9" s="154"/>
      <c r="J9" s="739"/>
      <c r="L9" s="13"/>
      <c r="M9" s="13"/>
      <c r="N9" s="13"/>
      <c r="O9" s="13"/>
      <c r="P9" s="13"/>
      <c r="Q9" s="13"/>
      <c r="R9" s="13"/>
      <c r="S9" s="13"/>
      <c r="T9" s="13"/>
      <c r="U9" s="13"/>
      <c r="V9" s="13"/>
      <c r="W9" s="13"/>
      <c r="X9" s="13"/>
      <c r="Y9" s="13"/>
      <c r="Z9" s="13"/>
      <c r="AB9" s="14" t="s">
        <v>48</v>
      </c>
      <c r="AC9" s="14">
        <v>25</v>
      </c>
      <c r="AE9" s="14" t="s">
        <v>48</v>
      </c>
      <c r="AF9" s="14">
        <v>10</v>
      </c>
    </row>
    <row r="10" spans="2:32" ht="36" customHeight="1" x14ac:dyDescent="0.2">
      <c r="B10" s="805"/>
      <c r="C10" s="807"/>
      <c r="D10" s="33" t="s">
        <v>251</v>
      </c>
      <c r="E10" s="34"/>
      <c r="F10" s="125">
        <f>IFERROR(VLOOKUP(E10,$AB$6:$AC$10,2,0),0)</f>
        <v>0</v>
      </c>
      <c r="G10" s="786"/>
      <c r="H10" s="129"/>
      <c r="J10" s="739"/>
      <c r="L10" s="13"/>
      <c r="M10" s="13"/>
      <c r="N10" s="13"/>
      <c r="O10" s="13"/>
      <c r="P10" s="13"/>
      <c r="Q10" s="13"/>
      <c r="R10" s="13"/>
      <c r="S10" s="13"/>
      <c r="T10" s="13"/>
      <c r="U10" s="13"/>
      <c r="V10" s="13"/>
      <c r="W10" s="13"/>
      <c r="X10" s="13"/>
      <c r="Y10" s="13"/>
      <c r="Z10" s="13"/>
      <c r="AB10" s="14" t="s">
        <v>49</v>
      </c>
      <c r="AC10" s="14">
        <v>40</v>
      </c>
      <c r="AE10" s="14" t="s">
        <v>49</v>
      </c>
      <c r="AF10" s="14">
        <v>40</v>
      </c>
    </row>
    <row r="11" spans="2:32" ht="36" customHeight="1" x14ac:dyDescent="0.2">
      <c r="B11" s="805"/>
      <c r="C11" s="807"/>
      <c r="D11" s="33" t="s">
        <v>165</v>
      </c>
      <c r="E11" s="34"/>
      <c r="F11" s="125">
        <f>IFERROR(VLOOKUP(E11,$AB$6:$AC$10,2,0),0)</f>
        <v>0</v>
      </c>
      <c r="G11" s="786"/>
      <c r="H11" s="129"/>
      <c r="J11" s="739"/>
      <c r="L11" s="13"/>
      <c r="M11" s="13"/>
      <c r="N11" s="13"/>
      <c r="O11" s="13"/>
      <c r="P11" s="13"/>
      <c r="Q11" s="13"/>
      <c r="R11" s="13"/>
      <c r="S11" s="13"/>
      <c r="T11" s="13"/>
      <c r="U11" s="13"/>
      <c r="V11" s="13"/>
      <c r="W11" s="13"/>
      <c r="X11" s="13"/>
      <c r="Y11" s="13"/>
      <c r="Z11" s="13"/>
      <c r="AB11" s="14" t="s">
        <v>92</v>
      </c>
      <c r="AC11" s="14" t="s">
        <v>72</v>
      </c>
      <c r="AE11" s="14" t="s">
        <v>92</v>
      </c>
      <c r="AF11" s="14" t="s">
        <v>72</v>
      </c>
    </row>
    <row r="12" spans="2:32" ht="42.75" customHeight="1" x14ac:dyDescent="0.2">
      <c r="B12" s="805"/>
      <c r="C12" s="807"/>
      <c r="D12" s="33" t="s">
        <v>38</v>
      </c>
      <c r="E12" s="34"/>
      <c r="F12" s="125">
        <f>IFERROR(VLOOKUP(E12,AE6:AF11,2,0),0)</f>
        <v>0</v>
      </c>
      <c r="G12" s="786"/>
      <c r="H12" s="129"/>
      <c r="J12" s="739"/>
      <c r="L12" s="13"/>
      <c r="M12" s="13"/>
      <c r="N12" s="13"/>
      <c r="O12" s="13"/>
      <c r="P12" s="13"/>
      <c r="Q12" s="13"/>
      <c r="R12" s="13"/>
      <c r="S12" s="13"/>
      <c r="T12" s="13"/>
      <c r="U12" s="13"/>
      <c r="V12" s="13"/>
      <c r="W12" s="13"/>
      <c r="X12" s="13"/>
      <c r="Y12" s="13"/>
      <c r="Z12" s="13"/>
    </row>
    <row r="13" spans="2:32" ht="36" customHeight="1" x14ac:dyDescent="0.2">
      <c r="B13" s="805"/>
      <c r="C13" s="807"/>
      <c r="D13" s="33" t="s">
        <v>252</v>
      </c>
      <c r="E13" s="34"/>
      <c r="F13" s="125">
        <f>IFERROR(VLOOKUP(E13,AE6:AF11,2,0),0)</f>
        <v>0</v>
      </c>
      <c r="G13" s="786"/>
      <c r="H13" s="129"/>
      <c r="I13" s="16"/>
      <c r="J13" s="739"/>
      <c r="L13" s="13"/>
      <c r="M13" s="13"/>
      <c r="N13" s="13"/>
      <c r="O13" s="13"/>
      <c r="P13" s="13"/>
      <c r="Q13" s="13"/>
      <c r="R13" s="13"/>
      <c r="S13" s="13"/>
      <c r="T13" s="13"/>
      <c r="U13" s="13"/>
      <c r="V13" s="13"/>
      <c r="W13" s="13"/>
      <c r="X13" s="13"/>
      <c r="Y13" s="13"/>
      <c r="Z13" s="13"/>
      <c r="AB13" s="10" t="str">
        <f>IF(E8="N/A"," ","&amp;E28&amp;""&amp;D28&amp;")</f>
        <v>&amp;E28&amp;"&amp;D28&amp;</v>
      </c>
    </row>
    <row r="14" spans="2:32" ht="57" customHeight="1" x14ac:dyDescent="0.2">
      <c r="B14" s="805"/>
      <c r="C14" s="807"/>
      <c r="D14" s="33" t="s">
        <v>410</v>
      </c>
      <c r="E14" s="34"/>
      <c r="F14" s="125">
        <f>IFERROR(VLOOKUP(E14,$AB$6:$AC$10,2,0),0)</f>
        <v>0</v>
      </c>
      <c r="G14" s="786"/>
      <c r="H14" s="129"/>
      <c r="I14" s="16"/>
      <c r="J14" s="739"/>
      <c r="L14" s="13"/>
      <c r="M14" s="13"/>
      <c r="N14" s="13"/>
      <c r="O14" s="13"/>
      <c r="P14" s="13"/>
      <c r="Q14" s="13"/>
      <c r="R14" s="13"/>
      <c r="S14" s="13"/>
      <c r="T14" s="13"/>
      <c r="U14" s="13"/>
      <c r="V14" s="13"/>
      <c r="W14" s="13"/>
      <c r="X14" s="13"/>
      <c r="Y14" s="13"/>
      <c r="Z14" s="13"/>
      <c r="AB14" s="10" t="str">
        <f>IF(E14="N/A"," ",E14&amp;" - "&amp;IF((OR(E14="",E14="N/A"))," ",E14&amp;" - "&amp;D14))</f>
        <v xml:space="preserve"> -  </v>
      </c>
    </row>
    <row r="15" spans="2:32" ht="36" customHeight="1" x14ac:dyDescent="0.2">
      <c r="B15" s="805"/>
      <c r="C15" s="807"/>
      <c r="D15" s="33" t="s">
        <v>253</v>
      </c>
      <c r="E15" s="34"/>
      <c r="F15" s="125">
        <f>IFERROR(VLOOKUP(E15,$AB$6:$AC$10,2,0),0)</f>
        <v>0</v>
      </c>
      <c r="G15" s="786"/>
      <c r="H15" s="129"/>
      <c r="J15" s="739"/>
    </row>
    <row r="16" spans="2:32" ht="36" customHeight="1" x14ac:dyDescent="0.2">
      <c r="B16" s="805"/>
      <c r="C16" s="808"/>
      <c r="D16" s="33" t="s">
        <v>164</v>
      </c>
      <c r="E16" s="34"/>
      <c r="F16" s="125">
        <f>IFERROR(VLOOKUP(E16,$AB$6:$AC$10,2,0),0)</f>
        <v>0</v>
      </c>
      <c r="G16" s="796"/>
      <c r="H16" s="129"/>
      <c r="J16" s="739"/>
    </row>
    <row r="17" spans="1:11" ht="36" customHeight="1" x14ac:dyDescent="0.2">
      <c r="B17" s="805"/>
      <c r="C17" s="772" t="s">
        <v>135</v>
      </c>
      <c r="D17" s="35"/>
      <c r="E17" s="34"/>
      <c r="F17" s="133">
        <f>IFERROR(VLOOKUP(E17,AB6:AC11,2,0),0)</f>
        <v>0</v>
      </c>
      <c r="G17" s="774"/>
      <c r="H17" s="132"/>
      <c r="J17" s="739"/>
    </row>
    <row r="18" spans="1:11" ht="36" customHeight="1" thickBot="1" x14ac:dyDescent="0.25">
      <c r="B18" s="805"/>
      <c r="C18" s="778"/>
      <c r="D18" s="152"/>
      <c r="E18" s="153"/>
      <c r="F18" s="134">
        <f>IFERROR(VLOOKUP(E18,AB7:AC12,2,0),0)</f>
        <v>0</v>
      </c>
      <c r="G18" s="775"/>
      <c r="H18" s="135"/>
      <c r="J18" s="740"/>
    </row>
    <row r="19" spans="1:11" ht="21.75" customHeight="1" x14ac:dyDescent="0.2">
      <c r="A19" s="98"/>
      <c r="B19" s="801" t="s">
        <v>289</v>
      </c>
      <c r="C19" s="813" t="s">
        <v>316</v>
      </c>
      <c r="D19" s="470" t="s">
        <v>39</v>
      </c>
      <c r="E19" s="809"/>
      <c r="F19" s="125" t="s">
        <v>72</v>
      </c>
      <c r="G19" s="126"/>
      <c r="H19" s="129"/>
      <c r="J19" s="738" t="s">
        <v>14</v>
      </c>
    </row>
    <row r="20" spans="1:11" ht="39" customHeight="1" x14ac:dyDescent="0.2">
      <c r="A20" s="98"/>
      <c r="B20" s="802"/>
      <c r="C20" s="713"/>
      <c r="D20" s="95" t="s">
        <v>296</v>
      </c>
      <c r="E20" s="810"/>
      <c r="F20" s="125"/>
      <c r="G20" s="126"/>
      <c r="H20" s="129"/>
      <c r="J20" s="739"/>
    </row>
    <row r="21" spans="1:11" ht="23.25" customHeight="1" x14ac:dyDescent="0.2">
      <c r="A21" s="98"/>
      <c r="B21" s="802"/>
      <c r="C21" s="713"/>
      <c r="D21" s="54" t="s">
        <v>40</v>
      </c>
      <c r="E21" s="811"/>
      <c r="F21" s="125" t="s">
        <v>72</v>
      </c>
      <c r="G21" s="126"/>
      <c r="H21" s="129"/>
      <c r="I21" s="248"/>
      <c r="J21" s="739"/>
    </row>
    <row r="22" spans="1:11" ht="39" customHeight="1" x14ac:dyDescent="0.2">
      <c r="A22" s="98"/>
      <c r="B22" s="802"/>
      <c r="C22" s="713"/>
      <c r="D22" s="95" t="s">
        <v>142</v>
      </c>
      <c r="E22" s="810"/>
      <c r="F22" s="130"/>
      <c r="G22" s="131"/>
      <c r="H22" s="132"/>
      <c r="J22" s="739"/>
    </row>
    <row r="23" spans="1:11" ht="23.25" customHeight="1" x14ac:dyDescent="0.2">
      <c r="A23" s="98"/>
      <c r="B23" s="802"/>
      <c r="C23" s="713"/>
      <c r="D23" s="54" t="s">
        <v>102</v>
      </c>
      <c r="E23" s="812"/>
      <c r="F23" s="130" t="s">
        <v>72</v>
      </c>
      <c r="G23" s="131"/>
      <c r="H23" s="132"/>
      <c r="I23" s="16"/>
      <c r="J23" s="739"/>
    </row>
    <row r="24" spans="1:11" ht="40.5" customHeight="1" x14ac:dyDescent="0.2">
      <c r="A24" s="98"/>
      <c r="B24" s="802"/>
      <c r="C24" s="713"/>
      <c r="D24" s="249" t="s">
        <v>297</v>
      </c>
      <c r="E24" s="811"/>
      <c r="F24" s="127"/>
      <c r="G24" s="167"/>
      <c r="H24" s="163"/>
      <c r="J24" s="739"/>
    </row>
    <row r="25" spans="1:11" ht="15.75" thickBot="1" x14ac:dyDescent="0.25">
      <c r="A25" s="99"/>
      <c r="B25" s="802"/>
      <c r="C25" s="713"/>
      <c r="D25" s="459" t="s">
        <v>145</v>
      </c>
      <c r="E25" s="811"/>
      <c r="F25" s="150"/>
      <c r="G25" s="443"/>
      <c r="H25" s="137"/>
      <c r="J25" s="739"/>
      <c r="K25" s="250" t="s">
        <v>143</v>
      </c>
    </row>
    <row r="26" spans="1:11" ht="38.25" customHeight="1" thickBot="1" x14ac:dyDescent="0.25">
      <c r="A26" s="97"/>
      <c r="B26" s="803"/>
      <c r="C26" s="814"/>
      <c r="D26" s="55" t="s">
        <v>41</v>
      </c>
      <c r="E26" s="471"/>
      <c r="F26" s="136" t="s">
        <v>72</v>
      </c>
      <c r="G26" s="443"/>
      <c r="H26" s="137"/>
      <c r="J26" s="740"/>
    </row>
    <row r="27" spans="1:11" ht="33" customHeight="1" x14ac:dyDescent="0.2">
      <c r="E27" s="25"/>
      <c r="F27" s="136">
        <f>MIN(G27,(SUM(F3:F26)))</f>
        <v>0</v>
      </c>
      <c r="G27" s="138">
        <f>SUM(G3:G26)</f>
        <v>560</v>
      </c>
      <c r="H27" s="139">
        <f>SUM(H3:H26)</f>
        <v>0</v>
      </c>
    </row>
    <row r="28" spans="1:11" ht="33" hidden="1" customHeight="1" thickBot="1" x14ac:dyDescent="0.25">
      <c r="E28" s="460"/>
      <c r="F28" s="140">
        <f>F27/G27*100</f>
        <v>0</v>
      </c>
      <c r="G28" s="141"/>
      <c r="H28" s="142"/>
    </row>
    <row r="29" spans="1:11" hidden="1" x14ac:dyDescent="0.2"/>
    <row r="30" spans="1:11" hidden="1" x14ac:dyDescent="0.2"/>
    <row r="31" spans="1:11" hidden="1" x14ac:dyDescent="0.2"/>
    <row r="32" spans="1:11"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spans="5:6" hidden="1" x14ac:dyDescent="0.2"/>
    <row r="1026" spans="5:6" hidden="1" x14ac:dyDescent="0.2"/>
    <row r="1027" spans="5:6" hidden="1" x14ac:dyDescent="0.2"/>
    <row r="1028" spans="5:6" hidden="1" x14ac:dyDescent="0.2"/>
    <row r="1029" spans="5:6" hidden="1" x14ac:dyDescent="0.2"/>
    <row r="1030" spans="5:6" hidden="1" x14ac:dyDescent="0.2"/>
    <row r="1031" spans="5:6" hidden="1" x14ac:dyDescent="0.2"/>
    <row r="1032" spans="5:6" hidden="1" x14ac:dyDescent="0.2"/>
    <row r="1033" spans="5:6" hidden="1" x14ac:dyDescent="0.2"/>
    <row r="1034" spans="5:6" hidden="1" x14ac:dyDescent="0.2"/>
    <row r="1035" spans="5:6" hidden="1" x14ac:dyDescent="0.2"/>
    <row r="1036" spans="5:6" hidden="1" x14ac:dyDescent="0.2"/>
    <row r="1037" spans="5:6" hidden="1" x14ac:dyDescent="0.2"/>
    <row r="1038" spans="5:6" hidden="1" x14ac:dyDescent="0.2">
      <c r="E1038" s="56"/>
      <c r="F1038" s="151"/>
    </row>
    <row r="1039" spans="5:6" ht="15" customHeight="1" x14ac:dyDescent="0.2"/>
    <row r="1040" spans="5:6"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sheetData>
  <sheetProtection algorithmName="SHA-512" hashValue="I63Q41VmSjuwcfFedCUYJ4r0Dav/2uRDiop3ix/vuRLv6NS+dGDO3BaPwd9otDG8KgqGqarFVxomy8GHjqsqKg==" saltValue="e35+2JJsKfFBwha4Xstw5g==" spinCount="100000" sheet="1" objects="1" scenarios="1" selectLockedCells="1"/>
  <protectedRanges>
    <protectedRange algorithmName="SHA-512" hashValue="VdonWu6RXEiK6u7RP1ciyB5EK3G7pNsYXUOARsmuw0CMpKxsnu/n3rejwbAQ+ke8mCBRlqwEsN32srVPirpG3A==" saltValue="PKyUQpTgkTDqya/H1FZEAA==" spinCount="100000" sqref="F1:F1048576" name="Range1"/>
  </protectedRanges>
  <mergeCells count="13">
    <mergeCell ref="B19:B26"/>
    <mergeCell ref="J3:J18"/>
    <mergeCell ref="B2:D2"/>
    <mergeCell ref="B3:B18"/>
    <mergeCell ref="C3:C16"/>
    <mergeCell ref="G3:G16"/>
    <mergeCell ref="C17:C18"/>
    <mergeCell ref="G17:G18"/>
    <mergeCell ref="J19:J26"/>
    <mergeCell ref="E19:E20"/>
    <mergeCell ref="E21:E22"/>
    <mergeCell ref="E23:E25"/>
    <mergeCell ref="C19:C26"/>
  </mergeCells>
  <dataValidations count="3">
    <dataValidation type="list" allowBlank="1" showInputMessage="1" showErrorMessage="1" sqref="E16:E18 E10:E11 E13 E3:E5 E7:E8" xr:uid="{F059675F-D775-4AF0-A332-B14C08BD2C55}">
      <formula1>"Always, Often, Sometimes, Rarely, Never, N/A"</formula1>
    </dataValidation>
    <dataValidation type="list" allowBlank="1" showInputMessage="1" showErrorMessage="1" sqref="E9 E12 E14:E15 E6" xr:uid="{B72560C9-13F6-448D-B0C2-A009ACE05940}">
      <formula1>"Always, Often, Sometimes, Rarely, Never"</formula1>
    </dataValidation>
    <dataValidation type="list" allowBlank="1" showInputMessage="1" showErrorMessage="1" sqref="E19:E26 E28" xr:uid="{884D9A57-89AF-4F44-9271-93D5B1B1A421}">
      <formula1>"Yes opportunity to, No opportunity to, Currently practicing"</formula1>
    </dataValidation>
  </dataValidations>
  <hyperlinks>
    <hyperlink ref="K25" r:id="rId1" display="https://www.batconservationireland.org/wp-content/uploads/2015/05/BCIrelandGuidelines_BatBoxes.pdf" xr:uid="{4281513E-A390-4CF5-8BD1-7103B8D82D89}"/>
    <hyperlink ref="D25" r:id="rId2" xr:uid="{421874A7-657D-451E-A0ED-97CC58C16644}"/>
  </hyperlinks>
  <pageMargins left="0.7" right="0.7" top="0.75" bottom="0.75" header="0.3" footer="0.3"/>
  <pageSetup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BF225"/>
  <sheetViews>
    <sheetView showGridLines="0" showRowColHeaders="0" zoomScale="120" zoomScaleNormal="120" workbookViewId="0">
      <selection activeCell="I1" sqref="I1"/>
    </sheetView>
  </sheetViews>
  <sheetFormatPr defaultColWidth="11.85546875" defaultRowHeight="21" customHeight="1" zeroHeight="1" x14ac:dyDescent="0.2"/>
  <cols>
    <col min="1" max="1" width="3.28515625" style="93" customWidth="1"/>
    <col min="2" max="2" width="26.7109375" style="5" customWidth="1"/>
    <col min="3" max="3" width="12.7109375" style="5" customWidth="1"/>
    <col min="4" max="4" width="9.42578125" style="5" customWidth="1"/>
    <col min="5" max="5" width="11.42578125" style="5" customWidth="1"/>
    <col min="6" max="6" width="32.85546875" style="5" customWidth="1"/>
    <col min="7" max="7" width="26" style="5" customWidth="1"/>
    <col min="8" max="8" width="25.85546875" style="5" customWidth="1"/>
    <col min="9" max="9" width="26.85546875" style="507" customWidth="1"/>
    <col min="10" max="32" width="11.85546875" style="106"/>
    <col min="33" max="58" width="11.85546875" style="392"/>
    <col min="59" max="16383" width="11.85546875" style="93"/>
    <col min="16384" max="16384" width="3.42578125" style="93" customWidth="1"/>
  </cols>
  <sheetData>
    <row r="1" spans="2:7" ht="19.5" customHeight="1" x14ac:dyDescent="0.2"/>
    <row r="2" spans="2:7" ht="19.5" customHeight="1" x14ac:dyDescent="0.2"/>
    <row r="3" spans="2:7" ht="19.5" customHeight="1" x14ac:dyDescent="0.2"/>
    <row r="4" spans="2:7" ht="19.5" customHeight="1" x14ac:dyDescent="0.2"/>
    <row r="5" spans="2:7" ht="19.5" customHeight="1" thickBot="1" x14ac:dyDescent="0.25"/>
    <row r="6" spans="2:7" ht="19.5" customHeight="1" x14ac:dyDescent="0.2">
      <c r="B6" s="815" t="s">
        <v>73</v>
      </c>
      <c r="C6" s="816"/>
      <c r="D6" s="816"/>
      <c r="E6" s="817"/>
    </row>
    <row r="7" spans="2:7" ht="19.5" customHeight="1" x14ac:dyDescent="0.2">
      <c r="B7" s="294"/>
      <c r="C7" s="285"/>
      <c r="D7" s="525" t="e">
        <f>D13</f>
        <v>#DIV/0!</v>
      </c>
      <c r="E7" s="524" t="s">
        <v>179</v>
      </c>
    </row>
    <row r="8" spans="2:7" ht="21.75" customHeight="1" x14ac:dyDescent="0.2">
      <c r="B8" s="419" t="s">
        <v>231</v>
      </c>
      <c r="C8" s="420"/>
      <c r="D8" s="288">
        <f>'% Habitat Score'!$H$85</f>
        <v>0</v>
      </c>
      <c r="E8" s="287" t="s">
        <v>113</v>
      </c>
    </row>
    <row r="9" spans="2:7" ht="21.75" customHeight="1" x14ac:dyDescent="0.2">
      <c r="B9" s="918" t="s">
        <v>232</v>
      </c>
      <c r="C9" s="919"/>
      <c r="D9" s="288">
        <f>'% Habitat Score'!$H$86</f>
        <v>0</v>
      </c>
      <c r="E9" s="287" t="s">
        <v>113</v>
      </c>
    </row>
    <row r="10" spans="2:7" ht="21.75" customHeight="1" x14ac:dyDescent="0.2">
      <c r="B10" s="918" t="s">
        <v>233</v>
      </c>
      <c r="C10" s="919"/>
      <c r="D10" s="288">
        <f>'% Habitat Score'!H87</f>
        <v>0</v>
      </c>
      <c r="E10" s="287" t="s">
        <v>113</v>
      </c>
    </row>
    <row r="11" spans="2:7" ht="21.75" customHeight="1" x14ac:dyDescent="0.2">
      <c r="B11" s="918" t="s">
        <v>229</v>
      </c>
      <c r="C11" s="919"/>
      <c r="D11" s="288">
        <f>D8-D10-D9</f>
        <v>0</v>
      </c>
      <c r="E11" s="287" t="s">
        <v>113</v>
      </c>
    </row>
    <row r="12" spans="2:7" ht="21.75" customHeight="1" x14ac:dyDescent="0.2">
      <c r="B12" s="918" t="s">
        <v>230</v>
      </c>
      <c r="C12" s="919"/>
      <c r="D12" s="288">
        <f>D8-D11</f>
        <v>0</v>
      </c>
      <c r="E12" s="287" t="s">
        <v>113</v>
      </c>
    </row>
    <row r="13" spans="2:7" ht="21.75" customHeight="1" thickBot="1" x14ac:dyDescent="0.25">
      <c r="B13" s="924" t="s">
        <v>105</v>
      </c>
      <c r="C13" s="925"/>
      <c r="D13" s="289" t="e">
        <f>((D10+D9)/D8)*100</f>
        <v>#DIV/0!</v>
      </c>
      <c r="E13" s="290" t="s">
        <v>179</v>
      </c>
      <c r="F13" s="295"/>
      <c r="G13" s="295"/>
    </row>
    <row r="14" spans="2:7" ht="21" customHeight="1" thickBot="1" x14ac:dyDescent="0.25">
      <c r="F14" s="295"/>
      <c r="G14" s="295"/>
    </row>
    <row r="15" spans="2:7" ht="21" customHeight="1" x14ac:dyDescent="0.2">
      <c r="B15" s="815" t="s">
        <v>263</v>
      </c>
      <c r="C15" s="816"/>
      <c r="D15" s="816"/>
      <c r="E15" s="816"/>
      <c r="F15" s="421"/>
    </row>
    <row r="16" spans="2:7" ht="21" customHeight="1" x14ac:dyDescent="0.2">
      <c r="B16" s="297"/>
      <c r="C16" s="298" t="s">
        <v>122</v>
      </c>
      <c r="D16" s="299">
        <f>F22</f>
        <v>0</v>
      </c>
      <c r="E16" s="300" t="s">
        <v>112</v>
      </c>
      <c r="F16" s="301"/>
    </row>
    <row r="17" spans="1:58" ht="27.75" customHeight="1" x14ac:dyDescent="0.2">
      <c r="B17" s="303" t="s">
        <v>52</v>
      </c>
      <c r="D17" s="304" t="s">
        <v>42</v>
      </c>
      <c r="E17" s="305" t="s">
        <v>74</v>
      </c>
      <c r="F17" s="306" t="s">
        <v>46</v>
      </c>
      <c r="J17" s="484"/>
      <c r="K17" s="486"/>
    </row>
    <row r="18" spans="1:58" ht="21" customHeight="1" x14ac:dyDescent="0.2">
      <c r="B18" s="417" t="s">
        <v>109</v>
      </c>
      <c r="C18" s="418"/>
      <c r="D18" s="307">
        <f>'Land Use'!F32</f>
        <v>0</v>
      </c>
      <c r="E18" s="307">
        <f>'Land Use'!G32</f>
        <v>380</v>
      </c>
      <c r="F18" s="308">
        <f>(D18/E18)*100</f>
        <v>0</v>
      </c>
      <c r="L18" s="486"/>
      <c r="M18" s="106" t="s">
        <v>234</v>
      </c>
      <c r="N18" s="106" t="s">
        <v>235</v>
      </c>
      <c r="O18" s="484" t="s">
        <v>232</v>
      </c>
      <c r="P18" s="484" t="s">
        <v>233</v>
      </c>
    </row>
    <row r="19" spans="1:58" ht="21" customHeight="1" x14ac:dyDescent="0.2">
      <c r="B19" s="920" t="s">
        <v>54</v>
      </c>
      <c r="C19" s="921"/>
      <c r="D19" s="307">
        <f>General!F34</f>
        <v>0</v>
      </c>
      <c r="E19" s="307">
        <f>General!G34</f>
        <v>700</v>
      </c>
      <c r="F19" s="308">
        <f>(D19/E19)*100</f>
        <v>0</v>
      </c>
      <c r="H19" s="296"/>
      <c r="M19" s="106">
        <f>'% Habitat Score'!J40</f>
        <v>0</v>
      </c>
      <c r="N19" s="106">
        <f>'% Habitat Score'!J41</f>
        <v>0</v>
      </c>
      <c r="O19" s="485">
        <f>'% Habitat Score'!I50+'% Habitat Score'!I51+'% Habitat Score'!J57+'% Habitat Score'!J59+'% Habitat Score'!J60+'% Habitat Score'!J61</f>
        <v>0</v>
      </c>
      <c r="P19" s="485">
        <f>'% Habitat Score'!J62+'% Habitat Score'!I66+'% Habitat Score'!I67+'% Habitat Score'!I68+'% Habitat Score'!I69+'% Habitat Score'!I70+'% Habitat Score'!I71+'% Habitat Score'!I72+'% Habitat Score'!I73+'% Habitat Score'!I74+'% Habitat Score'!I75+'% Habitat Score'!I76+'% Habitat Score'!N77+'% Habitat Score'!I78</f>
        <v>0</v>
      </c>
    </row>
    <row r="20" spans="1:58" ht="21" customHeight="1" x14ac:dyDescent="0.2">
      <c r="B20" s="920" t="s">
        <v>66</v>
      </c>
      <c r="C20" s="921"/>
      <c r="D20" s="307">
        <f>Linear!F52</f>
        <v>0</v>
      </c>
      <c r="E20" s="307">
        <f>Linear!G52</f>
        <v>880</v>
      </c>
      <c r="F20" s="308">
        <f>(D20/E20)*100</f>
        <v>0</v>
      </c>
      <c r="H20" s="302"/>
      <c r="J20" s="484"/>
      <c r="K20" s="486"/>
    </row>
    <row r="21" spans="1:58" ht="21" customHeight="1" x14ac:dyDescent="0.2">
      <c r="B21" s="920" t="s">
        <v>55</v>
      </c>
      <c r="C21" s="921"/>
      <c r="D21" s="307">
        <f>Area!F27</f>
        <v>0</v>
      </c>
      <c r="E21" s="307">
        <f>Area!G27</f>
        <v>560</v>
      </c>
      <c r="F21" s="308">
        <f>(D21/E21)*100</f>
        <v>0</v>
      </c>
      <c r="G21" s="3"/>
      <c r="J21" s="484"/>
      <c r="K21" s="486"/>
    </row>
    <row r="22" spans="1:58" ht="30.75" customHeight="1" thickBot="1" x14ac:dyDescent="0.25">
      <c r="B22" s="922" t="s">
        <v>106</v>
      </c>
      <c r="C22" s="923"/>
      <c r="D22" s="310">
        <f>SUM(D18:D21)</f>
        <v>0</v>
      </c>
      <c r="E22" s="310">
        <f>SUM(E18:E21)</f>
        <v>2520</v>
      </c>
      <c r="F22" s="311">
        <f>(D22/E22)*100</f>
        <v>0</v>
      </c>
      <c r="G22" s="309"/>
      <c r="L22" s="93"/>
    </row>
    <row r="23" spans="1:58" ht="21" customHeight="1" x14ac:dyDescent="0.2">
      <c r="G23" s="309"/>
      <c r="J23" s="482" t="s">
        <v>223</v>
      </c>
      <c r="K23" s="483" t="e">
        <f>D13</f>
        <v>#DIV/0!</v>
      </c>
      <c r="L23" s="93"/>
    </row>
    <row r="24" spans="1:58" ht="21" customHeight="1" x14ac:dyDescent="0.2">
      <c r="G24" s="309"/>
      <c r="J24" s="482" t="s">
        <v>394</v>
      </c>
      <c r="K24" s="483">
        <f>F22</f>
        <v>0</v>
      </c>
      <c r="L24" s="93"/>
    </row>
    <row r="25" spans="1:58" ht="21" customHeight="1" x14ac:dyDescent="0.2">
      <c r="L25" s="93"/>
    </row>
    <row r="26" spans="1:58" ht="24.75" customHeight="1" x14ac:dyDescent="0.2">
      <c r="G26" s="309"/>
      <c r="H26" s="309"/>
    </row>
    <row r="27" spans="1:58" ht="13.5" customHeight="1" thickBot="1" x14ac:dyDescent="0.25">
      <c r="A27" s="312"/>
    </row>
    <row r="28" spans="1:58" ht="33.75" customHeight="1" thickBot="1" x14ac:dyDescent="0.25">
      <c r="A28" s="819" t="s">
        <v>395</v>
      </c>
      <c r="B28" s="820"/>
      <c r="C28" s="820"/>
      <c r="D28" s="820"/>
      <c r="E28" s="820"/>
      <c r="F28" s="820"/>
      <c r="G28" s="820"/>
      <c r="H28" s="821"/>
    </row>
    <row r="29" spans="1:58" s="317" customFormat="1" ht="54.75" customHeight="1" thickBot="1" x14ac:dyDescent="0.25">
      <c r="A29" s="833"/>
      <c r="B29" s="834"/>
      <c r="C29" s="313" t="s">
        <v>56</v>
      </c>
      <c r="D29" s="313" t="s">
        <v>53</v>
      </c>
      <c r="E29" s="313" t="s">
        <v>46</v>
      </c>
      <c r="F29" s="314" t="s">
        <v>57</v>
      </c>
      <c r="G29" s="315" t="s">
        <v>123</v>
      </c>
      <c r="H29" s="316" t="s">
        <v>144</v>
      </c>
      <c r="I29" s="508"/>
      <c r="J29" s="336"/>
      <c r="K29" s="336"/>
      <c r="L29" s="336"/>
      <c r="M29" s="336"/>
      <c r="N29" s="336"/>
      <c r="O29" s="336"/>
      <c r="P29" s="106"/>
      <c r="Q29" s="106"/>
      <c r="R29" s="336"/>
      <c r="S29" s="336"/>
      <c r="T29" s="336"/>
      <c r="U29" s="336"/>
      <c r="V29" s="336"/>
      <c r="W29" s="336"/>
      <c r="X29" s="336"/>
      <c r="Y29" s="336"/>
      <c r="Z29" s="336"/>
      <c r="AA29" s="336"/>
      <c r="AB29" s="336"/>
      <c r="AC29" s="336"/>
      <c r="AD29" s="336"/>
      <c r="AE29" s="336"/>
      <c r="AF29" s="336"/>
      <c r="AG29" s="506"/>
      <c r="AH29" s="506"/>
      <c r="AI29" s="506"/>
      <c r="AJ29" s="506"/>
      <c r="AK29" s="506"/>
      <c r="AL29" s="506"/>
      <c r="AM29" s="506"/>
      <c r="AN29" s="506"/>
      <c r="AO29" s="506"/>
      <c r="AP29" s="506"/>
      <c r="AQ29" s="506"/>
      <c r="AR29" s="506"/>
      <c r="AS29" s="506"/>
      <c r="AT29" s="506"/>
      <c r="AU29" s="506"/>
      <c r="AV29" s="506"/>
      <c r="AW29" s="506"/>
      <c r="AX29" s="506"/>
      <c r="AY29" s="506"/>
      <c r="AZ29" s="506"/>
      <c r="BA29" s="506"/>
      <c r="BB29" s="506"/>
      <c r="BC29" s="506"/>
      <c r="BD29" s="506"/>
      <c r="BE29" s="506"/>
      <c r="BF29" s="506"/>
    </row>
    <row r="30" spans="1:58" s="317" customFormat="1" ht="45" customHeight="1" thickBot="1" x14ac:dyDescent="0.25">
      <c r="A30" s="835" t="s">
        <v>58</v>
      </c>
      <c r="B30" s="318" t="s">
        <v>59</v>
      </c>
      <c r="C30" s="319">
        <f>'Land Use'!F6</f>
        <v>0</v>
      </c>
      <c r="D30" s="320">
        <v>50</v>
      </c>
      <c r="E30" s="321">
        <f>(C30/D30)</f>
        <v>0</v>
      </c>
      <c r="F30" s="322" t="str">
        <f>'Land Use'!C6&amp;" "&amp;'Land Use'!D6</f>
        <v>Your average field size based on the total grassland and arable land: Above 5ha</v>
      </c>
      <c r="G30" s="323" t="str">
        <f>IF(E30,"Maximum Score Achieved","Increase number of fields")</f>
        <v>Increase number of fields</v>
      </c>
      <c r="H30" s="488"/>
      <c r="I30" s="509"/>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506"/>
      <c r="AH30" s="506"/>
      <c r="AI30" s="506"/>
      <c r="AJ30" s="506"/>
      <c r="AK30" s="506"/>
      <c r="AL30" s="506"/>
      <c r="AM30" s="506"/>
      <c r="AN30" s="506"/>
      <c r="AO30" s="506"/>
      <c r="AP30" s="506"/>
      <c r="AQ30" s="506"/>
      <c r="AR30" s="506"/>
      <c r="AS30" s="506"/>
      <c r="AT30" s="506"/>
      <c r="AU30" s="506"/>
      <c r="AV30" s="506"/>
      <c r="AW30" s="506"/>
      <c r="AX30" s="506"/>
      <c r="AY30" s="506"/>
      <c r="AZ30" s="506"/>
      <c r="BA30" s="506"/>
      <c r="BB30" s="506"/>
      <c r="BC30" s="506"/>
      <c r="BD30" s="506"/>
      <c r="BE30" s="506"/>
      <c r="BF30" s="506"/>
    </row>
    <row r="31" spans="1:58" s="317" customFormat="1" ht="53.25" customHeight="1" thickBot="1" x14ac:dyDescent="0.25">
      <c r="A31" s="836"/>
      <c r="B31" s="324" t="s">
        <v>60</v>
      </c>
      <c r="C31" s="325">
        <f>IFERROR('Land Use'!F8," ")</f>
        <v>0</v>
      </c>
      <c r="D31" s="326">
        <v>50</v>
      </c>
      <c r="E31" s="327">
        <f>IF(ISERROR((C31/D31))," ",(C31/D31))</f>
        <v>0</v>
      </c>
      <c r="F31" s="328" t="str">
        <f>IFERROR(VLOOKUP(C31, 'Land Use'!N7:O10, 2, 0), 0)</f>
        <v>Grassland - Almost all swards (75%+) are Perennial Ryegrass</v>
      </c>
      <c r="G31" s="329" t="str">
        <f>IF(C31=0,"Introduce other species into the grassland e.g. wildflowers or clovers or retain pastures as permanent",IF(AND(C31=25),"Retain more grassland as permanent and/or introduce other species e.g. clovers or wildflowers",IF(AND(C31=50),"Maximum Score Achieved",IF(AND(F31= "No grassland - go to Q1.2.2"),"Consider growing areas of grassland"))))</f>
        <v>Introduce other species into the grassland e.g. wildflowers or clovers or retain pastures as permanent</v>
      </c>
      <c r="H31" s="489"/>
      <c r="I31" s="508"/>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506"/>
      <c r="AH31" s="506"/>
      <c r="AI31" s="506"/>
      <c r="AJ31" s="506"/>
      <c r="AK31" s="506"/>
      <c r="AL31" s="506"/>
      <c r="AM31" s="506"/>
      <c r="AN31" s="506"/>
      <c r="AO31" s="506"/>
      <c r="AP31" s="506"/>
      <c r="AQ31" s="506"/>
      <c r="AR31" s="506"/>
      <c r="AS31" s="506"/>
      <c r="AT31" s="506"/>
      <c r="AU31" s="506"/>
      <c r="AV31" s="506"/>
      <c r="AW31" s="506"/>
      <c r="AX31" s="506"/>
      <c r="AY31" s="506"/>
      <c r="AZ31" s="506"/>
      <c r="BA31" s="506"/>
      <c r="BB31" s="506"/>
      <c r="BC31" s="506"/>
      <c r="BD31" s="506"/>
      <c r="BE31" s="506"/>
      <c r="BF31" s="506"/>
    </row>
    <row r="32" spans="1:58" s="317" customFormat="1" ht="38.25" customHeight="1" thickBot="1" x14ac:dyDescent="0.25">
      <c r="A32" s="836"/>
      <c r="B32" s="330" t="s">
        <v>61</v>
      </c>
      <c r="C32" s="331">
        <f>'Land Use'!F17</f>
        <v>0</v>
      </c>
      <c r="D32" s="332">
        <f>'Land Use'!G17</f>
        <v>50</v>
      </c>
      <c r="E32" s="333">
        <f>IF(ISERROR((C32/D32))," ",(C32/D32))</f>
        <v>0</v>
      </c>
      <c r="F32" s="334">
        <f>IFERROR(VLOOKUP(C32, 'Land Use'!N14:O17, 2, 0), 0)</f>
        <v>0</v>
      </c>
      <c r="G32" s="335" t="str">
        <f>IF(C32=0,"Consider growing different types of arable crops.",IF(AND(C32=40),"Consider growing different types of arable crops.",IF(AND(C32=50),"Maximum Score Achieved",IF(AND(F32= "No arable crops - Go to Q1.2.3"),"Consider growing an arable crop"))))</f>
        <v>Consider growing different types of arable crops.</v>
      </c>
      <c r="H32" s="490"/>
      <c r="I32" s="508"/>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506"/>
      <c r="AH32" s="506"/>
      <c r="AI32" s="506"/>
      <c r="AJ32" s="506"/>
      <c r="AK32" s="506"/>
      <c r="AL32" s="506"/>
      <c r="AM32" s="506"/>
      <c r="AN32" s="506"/>
      <c r="AO32" s="506"/>
      <c r="AP32" s="506"/>
      <c r="AQ32" s="506"/>
      <c r="AR32" s="506"/>
      <c r="AS32" s="506"/>
      <c r="AT32" s="506"/>
      <c r="AU32" s="506"/>
      <c r="AV32" s="506"/>
      <c r="AW32" s="506"/>
      <c r="AX32" s="506"/>
      <c r="AY32" s="506"/>
      <c r="AZ32" s="506"/>
      <c r="BA32" s="506"/>
      <c r="BB32" s="506"/>
      <c r="BC32" s="506"/>
      <c r="BD32" s="506"/>
      <c r="BE32" s="506"/>
      <c r="BF32" s="506"/>
    </row>
    <row r="33" spans="1:58" s="317" customFormat="1" ht="63.75" customHeight="1" x14ac:dyDescent="0.2">
      <c r="A33" s="836"/>
      <c r="B33" s="843" t="s">
        <v>216</v>
      </c>
      <c r="C33" s="882">
        <f>MIN(70,SUM('Land Use'!F10:F16))</f>
        <v>0</v>
      </c>
      <c r="D33" s="840">
        <v>70</v>
      </c>
      <c r="E33" s="830">
        <f>(C33/D33)</f>
        <v>0</v>
      </c>
      <c r="F33" s="337" t="str">
        <f>IF('Land Use'!$E$9=0,"No grassland",IF(AND('Land Use'!E10=0)," ",IF(AND('Land Use'!F10=10),"Low Annual Nitrogen application is currently used",IF(AND('Land Use'!F10=0),"Consider using low annual nitrogen application (less than 100kg N/ha or 2,000 gals/acre of cattle slurry) on more than one third of the grassland area"))))</f>
        <v>No grassland</v>
      </c>
      <c r="G33" s="827" t="str">
        <f>IF('Land Use'!E9=0,"No grassland",IF(AND(C33&gt;=0,C33&lt;70),"Consider what other biodiversity-friendly practices you could carry out on your grassland, please see those marked in red to the left.",IF(AND(C33=70),"Maximum score Achieved")))</f>
        <v>No grassland</v>
      </c>
      <c r="H33" s="822"/>
      <c r="I33" s="508"/>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506"/>
      <c r="AH33" s="506"/>
      <c r="AI33" s="506"/>
      <c r="AJ33" s="506"/>
      <c r="AK33" s="506"/>
      <c r="AL33" s="506"/>
      <c r="AM33" s="506"/>
      <c r="AN33" s="506"/>
      <c r="AO33" s="506"/>
      <c r="AP33" s="506"/>
      <c r="AQ33" s="506"/>
      <c r="AR33" s="506"/>
      <c r="AS33" s="506"/>
      <c r="AT33" s="506"/>
      <c r="AU33" s="506"/>
      <c r="AV33" s="506"/>
      <c r="AW33" s="506"/>
      <c r="AX33" s="506"/>
      <c r="AY33" s="506"/>
      <c r="AZ33" s="506"/>
      <c r="BA33" s="506"/>
      <c r="BB33" s="506"/>
      <c r="BC33" s="506"/>
      <c r="BD33" s="506"/>
      <c r="BE33" s="506"/>
      <c r="BF33" s="506"/>
    </row>
    <row r="34" spans="1:58" s="317" customFormat="1" ht="69.75" customHeight="1" x14ac:dyDescent="0.2">
      <c r="A34" s="836"/>
      <c r="B34" s="844"/>
      <c r="C34" s="877"/>
      <c r="D34" s="841"/>
      <c r="E34" s="831"/>
      <c r="F34" s="338" t="str">
        <f>IF('Land Use'!$E$9=0,"No grassland",IF(AND('Land Use'!E11=0)," ",IF(AND('Land Use'!F11=10),"Nests of ground nesting birds are currently marked and/or protected from livestock",IF(AND('Land Use'!F11=0),"Consider using a stick to mark the nests of ground nesting birds to prevent the nests being damaged by machinery and consider protecting the nest from livestock."))))</f>
        <v>No grassland</v>
      </c>
      <c r="G34" s="828"/>
      <c r="H34" s="823"/>
      <c r="I34" s="508"/>
      <c r="J34" s="106"/>
      <c r="K34" s="336"/>
      <c r="L34" s="336"/>
      <c r="M34" s="336"/>
      <c r="N34" s="336"/>
      <c r="O34" s="336"/>
      <c r="P34" s="336"/>
      <c r="Q34" s="336"/>
      <c r="R34" s="336"/>
      <c r="S34" s="476"/>
      <c r="T34" s="476"/>
      <c r="U34" s="336"/>
      <c r="V34" s="336"/>
      <c r="W34" s="336"/>
      <c r="X34" s="336"/>
      <c r="Y34" s="336" t="s">
        <v>51</v>
      </c>
      <c r="Z34" s="336">
        <f>'Land Use'!E4</f>
        <v>0</v>
      </c>
      <c r="AA34" s="336"/>
      <c r="AB34" s="336"/>
      <c r="AC34" s="336"/>
      <c r="AD34" s="336"/>
      <c r="AE34" s="336"/>
      <c r="AF34" s="336"/>
      <c r="AG34" s="506"/>
      <c r="AH34" s="506"/>
      <c r="AI34" s="506"/>
      <c r="AJ34" s="506"/>
      <c r="AK34" s="506"/>
      <c r="AL34" s="506"/>
      <c r="AM34" s="506"/>
      <c r="AN34" s="506"/>
      <c r="AO34" s="506"/>
      <c r="AP34" s="506"/>
      <c r="AQ34" s="506"/>
      <c r="AR34" s="506"/>
      <c r="AS34" s="506"/>
      <c r="AT34" s="506"/>
      <c r="AU34" s="506"/>
      <c r="AV34" s="506"/>
      <c r="AW34" s="506"/>
      <c r="AX34" s="506"/>
      <c r="AY34" s="506"/>
      <c r="AZ34" s="506"/>
      <c r="BA34" s="506"/>
      <c r="BB34" s="506"/>
      <c r="BC34" s="506"/>
      <c r="BD34" s="506"/>
      <c r="BE34" s="506"/>
      <c r="BF34" s="506"/>
    </row>
    <row r="35" spans="1:58" s="317" customFormat="1" ht="55.5" customHeight="1" x14ac:dyDescent="0.2">
      <c r="A35" s="836"/>
      <c r="B35" s="844"/>
      <c r="C35" s="877"/>
      <c r="D35" s="841"/>
      <c r="E35" s="831"/>
      <c r="F35" s="339" t="str">
        <f>IF('Land Use'!$E$9=0,"No grassland",IF(AND('Land Use'!E12=0)," ",IF(AND('Land Use'!F12=10),"Extensive grazing (1.0LU/ha) practices are currently used on over 50% of the farm",IF(AND('Land Use'!F12=0),"Consider implementing extensive grazing"))))</f>
        <v>No grassland</v>
      </c>
      <c r="G35" s="828"/>
      <c r="H35" s="823"/>
      <c r="I35" s="508"/>
      <c r="J35" s="336"/>
      <c r="K35" s="336"/>
      <c r="L35" s="336"/>
      <c r="M35" s="336"/>
      <c r="N35" s="336"/>
      <c r="O35" s="336"/>
      <c r="P35" s="336"/>
      <c r="Q35" s="336"/>
      <c r="R35" s="336"/>
      <c r="S35" s="476"/>
      <c r="T35" s="476"/>
      <c r="U35" s="336"/>
      <c r="V35" s="336"/>
      <c r="W35" s="336"/>
      <c r="X35" s="336"/>
      <c r="Y35" s="336" t="s">
        <v>99</v>
      </c>
      <c r="Z35" s="340">
        <f>C92</f>
        <v>0</v>
      </c>
      <c r="AA35" s="336"/>
      <c r="AB35" s="336"/>
      <c r="AC35" s="336"/>
      <c r="AD35" s="336"/>
      <c r="AE35" s="336"/>
      <c r="AF35" s="336"/>
      <c r="AG35" s="506"/>
      <c r="AH35" s="506"/>
      <c r="AI35" s="506"/>
      <c r="AJ35" s="506"/>
      <c r="AK35" s="506"/>
      <c r="AL35" s="506"/>
      <c r="AM35" s="506"/>
      <c r="AN35" s="506"/>
      <c r="AO35" s="506"/>
      <c r="AP35" s="506"/>
      <c r="AQ35" s="506"/>
      <c r="AR35" s="506"/>
      <c r="AS35" s="506"/>
      <c r="AT35" s="506"/>
      <c r="AU35" s="506"/>
      <c r="AV35" s="506"/>
      <c r="AW35" s="506"/>
      <c r="AX35" s="506"/>
      <c r="AY35" s="506"/>
      <c r="AZ35" s="506"/>
      <c r="BA35" s="506"/>
      <c r="BB35" s="506"/>
      <c r="BC35" s="506"/>
      <c r="BD35" s="506"/>
      <c r="BE35" s="506"/>
      <c r="BF35" s="506"/>
    </row>
    <row r="36" spans="1:58" s="317" customFormat="1" ht="55.5" customHeight="1" x14ac:dyDescent="0.2">
      <c r="A36" s="836"/>
      <c r="B36" s="844"/>
      <c r="C36" s="877"/>
      <c r="D36" s="841"/>
      <c r="E36" s="831"/>
      <c r="F36" s="338" t="str">
        <f>IF('Land Use'!$E$9=0,"No grassland",IF(AND('Land Use'!E13=0)," ",IF(AND('Land Use'!F13=10),"Mowing and grazing is currently delayed until at least 1 July on at least 1ha",IF(AND('Land Use'!F13=0),"Consider delaying mowing and grazing until 1 July on at least 1 ha to allow young ground nesting chicks fledge from the area."))))</f>
        <v>No grassland</v>
      </c>
      <c r="G36" s="828"/>
      <c r="H36" s="823"/>
      <c r="I36" s="508"/>
      <c r="J36" s="106"/>
      <c r="K36" s="510"/>
      <c r="L36" s="336"/>
      <c r="M36" s="336"/>
      <c r="N36" s="336"/>
      <c r="O36" s="336"/>
      <c r="P36" s="336"/>
      <c r="Q36" s="336"/>
      <c r="R36" s="336"/>
      <c r="S36" s="511"/>
      <c r="T36" s="511"/>
      <c r="U36" s="336"/>
      <c r="V36" s="336"/>
      <c r="W36" s="336"/>
      <c r="X36" s="336"/>
      <c r="Y36" s="476"/>
      <c r="Z36" s="341"/>
      <c r="AA36" s="336"/>
      <c r="AB36" s="336"/>
      <c r="AC36" s="336"/>
      <c r="AD36" s="336"/>
      <c r="AE36" s="336"/>
      <c r="AF36" s="336"/>
      <c r="AG36" s="506"/>
      <c r="AH36" s="506"/>
      <c r="AI36" s="506"/>
      <c r="AJ36" s="506"/>
      <c r="AK36" s="506"/>
      <c r="AL36" s="506"/>
      <c r="AM36" s="506"/>
      <c r="AN36" s="506"/>
      <c r="AO36" s="506"/>
      <c r="AP36" s="506"/>
      <c r="AQ36" s="506"/>
      <c r="AR36" s="506"/>
      <c r="AS36" s="506"/>
      <c r="AT36" s="506"/>
      <c r="AU36" s="506"/>
      <c r="AV36" s="506"/>
      <c r="AW36" s="506"/>
      <c r="AX36" s="506"/>
      <c r="AY36" s="506"/>
      <c r="AZ36" s="506"/>
      <c r="BA36" s="506"/>
      <c r="BB36" s="506"/>
      <c r="BC36" s="506"/>
      <c r="BD36" s="506"/>
      <c r="BE36" s="506"/>
      <c r="BF36" s="506"/>
    </row>
    <row r="37" spans="1:58" s="317" customFormat="1" ht="63.75" customHeight="1" x14ac:dyDescent="0.2">
      <c r="A37" s="836"/>
      <c r="B37" s="844"/>
      <c r="C37" s="877"/>
      <c r="D37" s="841"/>
      <c r="E37" s="831"/>
      <c r="F37" s="338" t="str">
        <f>IF('Land Use'!$E$9=0,"No grassland",IF(AND('Land Use'!E14=0)," ",IF(AND('Land Use'!F14=10),"2-4m wide strips in fields are currently left unmown as refunge areas",IF(AND('Land Use'!F14=0),"Consider leaving 2-4m wide strips unmown in fields as refuge areas. The wider the strip that is left unmown will have greater benefits for the wildlife that will utilise the strip."))))</f>
        <v>No grassland</v>
      </c>
      <c r="G37" s="828"/>
      <c r="H37" s="823"/>
      <c r="I37" s="508"/>
      <c r="J37" s="106"/>
      <c r="K37" s="336"/>
      <c r="L37" s="336"/>
      <c r="M37" s="336"/>
      <c r="N37" s="336"/>
      <c r="O37" s="336"/>
      <c r="P37" s="336"/>
      <c r="Q37" s="336"/>
      <c r="R37" s="336"/>
      <c r="S37" s="511"/>
      <c r="T37" s="511"/>
      <c r="U37" s="336"/>
      <c r="V37" s="510"/>
      <c r="W37" s="510"/>
      <c r="X37" s="336"/>
      <c r="Y37" s="476"/>
      <c r="Z37" s="340"/>
      <c r="AA37" s="336"/>
      <c r="AB37" s="336"/>
      <c r="AC37" s="336"/>
      <c r="AD37" s="336"/>
      <c r="AE37" s="336"/>
      <c r="AF37" s="336"/>
      <c r="AG37" s="506"/>
      <c r="AH37" s="506"/>
      <c r="AI37" s="506"/>
      <c r="AJ37" s="506"/>
      <c r="AK37" s="506"/>
      <c r="AL37" s="506"/>
      <c r="AM37" s="506"/>
      <c r="AN37" s="506"/>
      <c r="AO37" s="506"/>
      <c r="AP37" s="506"/>
      <c r="AQ37" s="506"/>
      <c r="AR37" s="506"/>
      <c r="AS37" s="506"/>
      <c r="AT37" s="506"/>
      <c r="AU37" s="506"/>
      <c r="AV37" s="506"/>
      <c r="AW37" s="506"/>
      <c r="AX37" s="506"/>
      <c r="AY37" s="506"/>
      <c r="AZ37" s="506"/>
      <c r="BA37" s="506"/>
      <c r="BB37" s="506"/>
      <c r="BC37" s="506"/>
      <c r="BD37" s="506"/>
      <c r="BE37" s="506"/>
      <c r="BF37" s="506"/>
    </row>
    <row r="38" spans="1:58" s="317" customFormat="1" ht="55.5" customHeight="1" x14ac:dyDescent="0.2">
      <c r="A38" s="836"/>
      <c r="B38" s="844"/>
      <c r="C38" s="877"/>
      <c r="D38" s="841"/>
      <c r="E38" s="831"/>
      <c r="F38" s="342" t="str">
        <f>IF('Land Use'!$E$9=0,"No grassland",IF(AND('Land Use'!E15=0)," ",IF(AND('Land Use'!F15=10),"Multi-species swards or herbal leys are currently used on the farm",IF(AND('Land Use'!F15=0),"Consider using multi-species swards or herbal leys on the farm."))))</f>
        <v>No grassland</v>
      </c>
      <c r="G38" s="828"/>
      <c r="H38" s="823"/>
      <c r="I38" s="508"/>
      <c r="J38" s="106"/>
      <c r="K38" s="336"/>
      <c r="L38" s="336"/>
      <c r="M38" s="336"/>
      <c r="N38" s="336"/>
      <c r="O38" s="336"/>
      <c r="P38" s="336"/>
      <c r="Q38" s="336"/>
      <c r="R38" s="336"/>
      <c r="S38" s="511"/>
      <c r="T38" s="511"/>
      <c r="U38" s="336"/>
      <c r="V38" s="510"/>
      <c r="W38" s="510"/>
      <c r="X38" s="336"/>
      <c r="Y38" s="476"/>
      <c r="Z38" s="340"/>
      <c r="AA38" s="336"/>
      <c r="AB38" s="336"/>
      <c r="AC38" s="336"/>
      <c r="AD38" s="336"/>
      <c r="AE38" s="336"/>
      <c r="AF38" s="336"/>
      <c r="AG38" s="506"/>
      <c r="AH38" s="506"/>
      <c r="AI38" s="506"/>
      <c r="AJ38" s="506"/>
      <c r="AK38" s="506"/>
      <c r="AL38" s="506"/>
      <c r="AM38" s="506"/>
      <c r="AN38" s="506"/>
      <c r="AO38" s="506"/>
      <c r="AP38" s="506"/>
      <c r="AQ38" s="506"/>
      <c r="AR38" s="506"/>
      <c r="AS38" s="506"/>
      <c r="AT38" s="506"/>
      <c r="AU38" s="506"/>
      <c r="AV38" s="506"/>
      <c r="AW38" s="506"/>
      <c r="AX38" s="506"/>
      <c r="AY38" s="506"/>
      <c r="AZ38" s="506"/>
      <c r="BA38" s="506"/>
      <c r="BB38" s="506"/>
      <c r="BC38" s="506"/>
      <c r="BD38" s="506"/>
      <c r="BE38" s="506"/>
      <c r="BF38" s="506"/>
    </row>
    <row r="39" spans="1:58" s="317" customFormat="1" ht="55.5" customHeight="1" thickBot="1" x14ac:dyDescent="0.25">
      <c r="A39" s="836"/>
      <c r="B39" s="844"/>
      <c r="C39" s="906"/>
      <c r="D39" s="842"/>
      <c r="E39" s="832"/>
      <c r="F39" s="343" t="str">
        <f>IF('Land Use'!$E$9=0,"No grassland",IF(AND('Land Use'!E16=0)," ",IF(AND('Land Use'!F16=10),"Low nitrogen, high clover content swards are currently used on the farm",IF(AND('Land Use'!F16=0),"Consider using low nitrogen, high clover content swards on the farm"))))</f>
        <v>No grassland</v>
      </c>
      <c r="G39" s="828"/>
      <c r="H39" s="823"/>
      <c r="I39" s="508"/>
      <c r="J39" s="106"/>
      <c r="K39" s="336"/>
      <c r="L39" s="336"/>
      <c r="M39" s="336"/>
      <c r="N39" s="336"/>
      <c r="O39" s="336"/>
      <c r="P39" s="336"/>
      <c r="Q39" s="336"/>
      <c r="R39" s="336"/>
      <c r="S39" s="511"/>
      <c r="T39" s="511"/>
      <c r="U39" s="336"/>
      <c r="V39" s="510"/>
      <c r="W39" s="510"/>
      <c r="X39" s="336"/>
      <c r="Y39" s="476"/>
      <c r="Z39" s="340"/>
      <c r="AA39" s="336"/>
      <c r="AB39" s="336"/>
      <c r="AC39" s="336"/>
      <c r="AD39" s="336"/>
      <c r="AE39" s="336"/>
      <c r="AF39" s="336"/>
      <c r="AG39" s="506"/>
      <c r="AH39" s="506"/>
      <c r="AI39" s="506"/>
      <c r="AJ39" s="506"/>
      <c r="AK39" s="506"/>
      <c r="AL39" s="506"/>
      <c r="AM39" s="506"/>
      <c r="AN39" s="506"/>
      <c r="AO39" s="506"/>
      <c r="AP39" s="506"/>
      <c r="AQ39" s="506"/>
      <c r="AR39" s="506"/>
      <c r="AS39" s="506"/>
      <c r="AT39" s="506"/>
      <c r="AU39" s="506"/>
      <c r="AV39" s="506"/>
      <c r="AW39" s="506"/>
      <c r="AX39" s="506"/>
      <c r="AY39" s="506"/>
      <c r="AZ39" s="506"/>
      <c r="BA39" s="506"/>
      <c r="BB39" s="506"/>
      <c r="BC39" s="506"/>
      <c r="BD39" s="506"/>
      <c r="BE39" s="506"/>
      <c r="BF39" s="506"/>
    </row>
    <row r="40" spans="1:58" s="317" customFormat="1" ht="54.75" customHeight="1" x14ac:dyDescent="0.2">
      <c r="A40" s="836"/>
      <c r="B40" s="843" t="s">
        <v>215</v>
      </c>
      <c r="C40" s="882">
        <f>MIN(60,(SUM('Land Use'!F19:F25)))</f>
        <v>0</v>
      </c>
      <c r="D40" s="840">
        <v>60</v>
      </c>
      <c r="E40" s="830">
        <f>(C40/D40)</f>
        <v>0</v>
      </c>
      <c r="F40" s="337" t="str">
        <f>IF('Land Use'!$E$18=0,"No arable crops grown",IF(AND('Land Use'!E19=0)," ",IF(AND('Land Use'!F19=10),"Winter stubble is currently retained until the following spring",IF(AND('Land Use'!F19=0),"Consider retaining areas of stubble over the winter months until the following spring. This will provide feed for songbirds during the winter months."))))</f>
        <v>No arable crops grown</v>
      </c>
      <c r="G40" s="827" t="str">
        <f>IF('Land Use'!E18=0,"No arable crops grown",IF(AND(C40&gt;=0,C40&lt;60),"Consider what other biodiversity-friendly practices you could carry out on your arable crops, please see those marked in red to the left.",IF(AND(C40=60),"Maximum score Achieved")))</f>
        <v>No arable crops grown</v>
      </c>
      <c r="H40" s="822"/>
      <c r="I40" s="508"/>
      <c r="J40" s="106"/>
      <c r="K40" s="510"/>
      <c r="L40" s="510"/>
      <c r="M40" s="510"/>
      <c r="N40" s="510"/>
      <c r="O40" s="510"/>
      <c r="P40" s="336"/>
      <c r="Q40" s="336"/>
      <c r="R40" s="510"/>
      <c r="S40" s="476"/>
      <c r="T40" s="476"/>
      <c r="U40" s="336"/>
      <c r="V40" s="336"/>
      <c r="W40" s="336"/>
      <c r="X40" s="336"/>
      <c r="Y40" s="476"/>
      <c r="Z40" s="340"/>
      <c r="AA40" s="336"/>
      <c r="AB40" s="336"/>
      <c r="AC40" s="336"/>
      <c r="AD40" s="336"/>
      <c r="AE40" s="336"/>
      <c r="AF40" s="336"/>
      <c r="AG40" s="506"/>
      <c r="AH40" s="506"/>
      <c r="AI40" s="506"/>
      <c r="AJ40" s="506"/>
      <c r="AK40" s="506"/>
      <c r="AL40" s="506"/>
      <c r="AM40" s="506"/>
      <c r="AN40" s="506"/>
      <c r="AO40" s="506"/>
      <c r="AP40" s="506"/>
      <c r="AQ40" s="506"/>
      <c r="AR40" s="506"/>
      <c r="AS40" s="506"/>
      <c r="AT40" s="506"/>
      <c r="AU40" s="506"/>
      <c r="AV40" s="506"/>
      <c r="AW40" s="506"/>
      <c r="AX40" s="506"/>
      <c r="AY40" s="506"/>
      <c r="AZ40" s="506"/>
      <c r="BA40" s="506"/>
      <c r="BB40" s="506"/>
      <c r="BC40" s="506"/>
      <c r="BD40" s="506"/>
      <c r="BE40" s="506"/>
      <c r="BF40" s="506"/>
    </row>
    <row r="41" spans="1:58" s="317" customFormat="1" ht="54.75" customHeight="1" x14ac:dyDescent="0.2">
      <c r="A41" s="836"/>
      <c r="B41" s="844"/>
      <c r="C41" s="877"/>
      <c r="D41" s="841"/>
      <c r="E41" s="831"/>
      <c r="F41" s="338" t="str">
        <f>IF('Land Use'!$E$18=0,"No arable crops grown",IF(AND('Land Use'!E20=0)," ",IF(AND('Land Use'!F20=10),"An area of the field is currently left unharvested to provide food (seed) for animals",IF(AND('Land Use'!F20=0),"Consider leaving an area of the field unharvested to provide food (seed) for animals"))))</f>
        <v>No arable crops grown</v>
      </c>
      <c r="G41" s="828"/>
      <c r="H41" s="823"/>
      <c r="I41" s="508"/>
      <c r="J41" s="106"/>
      <c r="K41" s="510"/>
      <c r="L41" s="510"/>
      <c r="M41" s="510"/>
      <c r="N41" s="510"/>
      <c r="O41" s="510"/>
      <c r="P41" s="510"/>
      <c r="Q41" s="510"/>
      <c r="R41" s="510"/>
      <c r="S41" s="511"/>
      <c r="T41" s="511"/>
      <c r="U41" s="336"/>
      <c r="V41" s="336"/>
      <c r="W41" s="336"/>
      <c r="X41" s="336"/>
      <c r="Y41" s="510"/>
      <c r="Z41" s="341"/>
      <c r="AA41" s="336"/>
      <c r="AB41" s="336"/>
      <c r="AC41" s="336"/>
      <c r="AD41" s="336"/>
      <c r="AE41" s="336"/>
      <c r="AF41" s="336"/>
      <c r="AG41" s="506"/>
      <c r="AH41" s="506"/>
      <c r="AI41" s="506"/>
      <c r="AJ41" s="506"/>
      <c r="AK41" s="506"/>
      <c r="AL41" s="506"/>
      <c r="AM41" s="506"/>
      <c r="AN41" s="506"/>
      <c r="AO41" s="506"/>
      <c r="AP41" s="506"/>
      <c r="AQ41" s="506"/>
      <c r="AR41" s="506"/>
      <c r="AS41" s="506"/>
      <c r="AT41" s="506"/>
      <c r="AU41" s="506"/>
      <c r="AV41" s="506"/>
      <c r="AW41" s="506"/>
      <c r="AX41" s="506"/>
      <c r="AY41" s="506"/>
      <c r="AZ41" s="506"/>
      <c r="BA41" s="506"/>
      <c r="BB41" s="506"/>
      <c r="BC41" s="506"/>
      <c r="BD41" s="506"/>
      <c r="BE41" s="506"/>
      <c r="BF41" s="506"/>
    </row>
    <row r="42" spans="1:58" s="317" customFormat="1" ht="54.75" customHeight="1" x14ac:dyDescent="0.2">
      <c r="A42" s="836"/>
      <c r="B42" s="844"/>
      <c r="C42" s="877"/>
      <c r="D42" s="841"/>
      <c r="E42" s="831"/>
      <c r="F42" s="338" t="str">
        <f>IF('Land Use'!$E$18=0,"No arable crops grown",IF(AND('Land Use'!E21=0)," ",IF(AND('Land Use'!F21=10),"Nests of ground nesting birds are currently marked and/or protected from machinery",IF(AND('Land Use'!F21=0),"Consider using a stick to mark the nests of ground nesting birds and protect from machinery."))))</f>
        <v>No arable crops grown</v>
      </c>
      <c r="G42" s="828"/>
      <c r="H42" s="823"/>
      <c r="I42" s="508"/>
      <c r="J42" s="106"/>
      <c r="K42" s="510"/>
      <c r="L42" s="510"/>
      <c r="M42" s="510"/>
      <c r="N42" s="510"/>
      <c r="O42" s="510"/>
      <c r="P42" s="510"/>
      <c r="Q42" s="510"/>
      <c r="R42" s="510"/>
      <c r="S42" s="476"/>
      <c r="T42" s="476"/>
      <c r="U42" s="336"/>
      <c r="V42" s="336"/>
      <c r="W42" s="336"/>
      <c r="X42" s="336"/>
      <c r="Y42" s="510"/>
      <c r="Z42" s="341"/>
      <c r="AA42" s="336"/>
      <c r="AB42" s="336"/>
      <c r="AC42" s="336"/>
      <c r="AD42" s="336"/>
      <c r="AE42" s="336"/>
      <c r="AF42" s="336"/>
      <c r="AG42" s="506"/>
      <c r="AH42" s="506"/>
      <c r="AI42" s="506"/>
      <c r="AJ42" s="506"/>
      <c r="AK42" s="506"/>
      <c r="AL42" s="506"/>
      <c r="AM42" s="506"/>
      <c r="AN42" s="506"/>
      <c r="AO42" s="506"/>
      <c r="AP42" s="506"/>
      <c r="AQ42" s="506"/>
      <c r="AR42" s="506"/>
      <c r="AS42" s="506"/>
      <c r="AT42" s="506"/>
      <c r="AU42" s="506"/>
      <c r="AV42" s="506"/>
      <c r="AW42" s="506"/>
      <c r="AX42" s="506"/>
      <c r="AY42" s="506"/>
      <c r="AZ42" s="506"/>
      <c r="BA42" s="506"/>
      <c r="BB42" s="506"/>
      <c r="BC42" s="506"/>
      <c r="BD42" s="506"/>
      <c r="BE42" s="506"/>
      <c r="BF42" s="506"/>
    </row>
    <row r="43" spans="1:58" s="317" customFormat="1" ht="72.75" customHeight="1" x14ac:dyDescent="0.2">
      <c r="A43" s="836"/>
      <c r="B43" s="844"/>
      <c r="C43" s="877"/>
      <c r="D43" s="841"/>
      <c r="E43" s="831"/>
      <c r="F43" s="338" t="str">
        <f>IF('Land Use'!$E$18=0,"No arable crops grown",IF(AND('Land Use'!E22=0)," ",IF(AND('Land Use'!F22=10),"One or more flowering crops are currently grown",IF(AND('Land Use'!F22=0),"Consider growing more flowering crops such as peas, clover or herbs. Peas, clover or herbs are great for providing food for insects and can be used for animal feed."))))</f>
        <v>No arable crops grown</v>
      </c>
      <c r="G43" s="828"/>
      <c r="H43" s="823"/>
      <c r="I43" s="512"/>
      <c r="J43" s="106"/>
      <c r="K43" s="513"/>
      <c r="L43" s="513"/>
      <c r="M43" s="510"/>
      <c r="N43" s="510"/>
      <c r="O43" s="510"/>
      <c r="P43" s="510"/>
      <c r="Q43" s="510"/>
      <c r="R43" s="510"/>
      <c r="S43" s="336"/>
      <c r="T43" s="336"/>
      <c r="U43" s="336"/>
      <c r="V43" s="336"/>
      <c r="W43" s="336"/>
      <c r="X43" s="336"/>
      <c r="Y43" s="336"/>
      <c r="Z43" s="336"/>
      <c r="AA43" s="336"/>
      <c r="AB43" s="336"/>
      <c r="AC43" s="336"/>
      <c r="AD43" s="336"/>
      <c r="AE43" s="336"/>
      <c r="AF43" s="336"/>
      <c r="AG43" s="506"/>
      <c r="AH43" s="506"/>
      <c r="AI43" s="506"/>
      <c r="AJ43" s="506"/>
      <c r="AK43" s="506"/>
      <c r="AL43" s="506"/>
      <c r="AM43" s="506"/>
      <c r="AN43" s="506"/>
      <c r="AO43" s="506"/>
      <c r="AP43" s="506"/>
      <c r="AQ43" s="506"/>
      <c r="AR43" s="506"/>
      <c r="AS43" s="506"/>
      <c r="AT43" s="506"/>
      <c r="AU43" s="506"/>
      <c r="AV43" s="506"/>
      <c r="AW43" s="506"/>
      <c r="AX43" s="506"/>
      <c r="AY43" s="506"/>
      <c r="AZ43" s="506"/>
      <c r="BA43" s="506"/>
      <c r="BB43" s="506"/>
      <c r="BC43" s="506"/>
      <c r="BD43" s="506"/>
      <c r="BE43" s="506"/>
      <c r="BF43" s="506"/>
    </row>
    <row r="44" spans="1:58" s="317" customFormat="1" ht="54.75" customHeight="1" x14ac:dyDescent="0.2">
      <c r="A44" s="836"/>
      <c r="B44" s="844"/>
      <c r="C44" s="877"/>
      <c r="D44" s="841"/>
      <c r="E44" s="831"/>
      <c r="F44" s="338" t="str">
        <f>IF('Land Use'!$E$18=0,"No arable crops grown",IF(AND('Land Use'!E23=0)," ",IF(AND('Land Use'!F23=10),"Cover crops are currently grown",IF(AND('Land Use'!F23=0),"Consider growing more cover crops. This will reduce the risk of any soil run off."))))</f>
        <v>No arable crops grown</v>
      </c>
      <c r="G44" s="828"/>
      <c r="H44" s="823"/>
      <c r="I44" s="432"/>
      <c r="J44" s="106"/>
      <c r="K44" s="513"/>
      <c r="L44" s="513"/>
      <c r="M44" s="510"/>
      <c r="N44" s="510"/>
      <c r="O44" s="510"/>
      <c r="P44" s="510"/>
      <c r="Q44" s="510"/>
      <c r="R44" s="510"/>
      <c r="S44" s="336"/>
      <c r="T44" s="336"/>
      <c r="U44" s="336"/>
      <c r="V44" s="336"/>
      <c r="W44" s="336"/>
      <c r="X44" s="336"/>
      <c r="Y44" s="336"/>
      <c r="Z44" s="336"/>
      <c r="AA44" s="336"/>
      <c r="AB44" s="336"/>
      <c r="AC44" s="336"/>
      <c r="AD44" s="336"/>
      <c r="AE44" s="336"/>
      <c r="AF44" s="336"/>
      <c r="AG44" s="506"/>
      <c r="AH44" s="506"/>
      <c r="AI44" s="506"/>
      <c r="AJ44" s="506"/>
      <c r="AK44" s="506"/>
      <c r="AL44" s="506"/>
      <c r="AM44" s="506"/>
      <c r="AN44" s="506"/>
      <c r="AO44" s="506"/>
      <c r="AP44" s="506"/>
      <c r="AQ44" s="506"/>
      <c r="AR44" s="506"/>
      <c r="AS44" s="506"/>
      <c r="AT44" s="506"/>
      <c r="AU44" s="506"/>
      <c r="AV44" s="506"/>
      <c r="AW44" s="506"/>
      <c r="AX44" s="506"/>
      <c r="AY44" s="506"/>
      <c r="AZ44" s="506"/>
      <c r="BA44" s="506"/>
      <c r="BB44" s="506"/>
      <c r="BC44" s="506"/>
      <c r="BD44" s="506"/>
      <c r="BE44" s="506"/>
      <c r="BF44" s="506"/>
    </row>
    <row r="45" spans="1:58" s="317" customFormat="1" ht="54.75" customHeight="1" x14ac:dyDescent="0.2">
      <c r="A45" s="836"/>
      <c r="B45" s="844"/>
      <c r="C45" s="877"/>
      <c r="D45" s="841"/>
      <c r="E45" s="831"/>
      <c r="F45" s="338" t="str">
        <f>IF('Land Use'!$E$18=0,"No arable crops grown",IF(AND('Land Use'!E24=0)," ",IF(AND('Land Use'!F24=10),"Minimum tillage is currently used",IF(AND('Land Use'!F24=0),"Consider using minimum tillage methods to establish arable crops."))))</f>
        <v>No arable crops grown</v>
      </c>
      <c r="G45" s="828"/>
      <c r="H45" s="823"/>
      <c r="I45" s="514"/>
      <c r="J45" s="106"/>
      <c r="K45" s="513"/>
      <c r="L45" s="513"/>
      <c r="M45" s="515"/>
      <c r="N45" s="515"/>
      <c r="O45" s="515"/>
      <c r="P45" s="510"/>
      <c r="Q45" s="510"/>
      <c r="R45" s="515"/>
      <c r="S45" s="336"/>
      <c r="T45" s="336"/>
      <c r="U45" s="336"/>
      <c r="V45" s="336"/>
      <c r="W45" s="336"/>
      <c r="X45" s="336"/>
      <c r="Y45" s="336"/>
      <c r="Z45" s="336"/>
      <c r="AA45" s="336"/>
      <c r="AB45" s="336"/>
      <c r="AC45" s="336"/>
      <c r="AD45" s="336"/>
      <c r="AE45" s="336"/>
      <c r="AF45" s="336"/>
      <c r="AG45" s="506"/>
      <c r="AH45" s="506"/>
      <c r="AI45" s="506"/>
      <c r="AJ45" s="506"/>
      <c r="AK45" s="506"/>
      <c r="AL45" s="506"/>
      <c r="AM45" s="506"/>
      <c r="AN45" s="506"/>
      <c r="AO45" s="506"/>
      <c r="AP45" s="506"/>
      <c r="AQ45" s="506"/>
      <c r="AR45" s="506"/>
      <c r="AS45" s="506"/>
      <c r="AT45" s="506"/>
      <c r="AU45" s="506"/>
      <c r="AV45" s="506"/>
      <c r="AW45" s="506"/>
      <c r="AX45" s="506"/>
      <c r="AY45" s="506"/>
      <c r="AZ45" s="506"/>
      <c r="BA45" s="506"/>
      <c r="BB45" s="506"/>
      <c r="BC45" s="506"/>
      <c r="BD45" s="506"/>
      <c r="BE45" s="506"/>
      <c r="BF45" s="506"/>
    </row>
    <row r="46" spans="1:58" s="317" customFormat="1" ht="54.75" customHeight="1" thickBot="1" x14ac:dyDescent="0.25">
      <c r="A46" s="836"/>
      <c r="B46" s="844"/>
      <c r="C46" s="906"/>
      <c r="D46" s="842"/>
      <c r="E46" s="832"/>
      <c r="F46" s="344">
        <f>'Land Use'!D25</f>
        <v>0</v>
      </c>
      <c r="G46" s="828"/>
      <c r="H46" s="823"/>
      <c r="I46" s="514"/>
      <c r="J46" s="336"/>
      <c r="K46" s="515"/>
      <c r="L46" s="515"/>
      <c r="M46" s="515"/>
      <c r="N46" s="515"/>
      <c r="O46" s="515"/>
      <c r="P46" s="515"/>
      <c r="Q46" s="515"/>
      <c r="R46" s="515"/>
      <c r="S46" s="336"/>
      <c r="T46" s="336"/>
      <c r="U46" s="336"/>
      <c r="V46" s="336"/>
      <c r="W46" s="336"/>
      <c r="X46" s="336"/>
      <c r="Y46" s="336"/>
      <c r="Z46" s="336"/>
      <c r="AA46" s="336"/>
      <c r="AB46" s="336"/>
      <c r="AC46" s="336"/>
      <c r="AD46" s="336"/>
      <c r="AE46" s="336"/>
      <c r="AF46" s="336"/>
      <c r="AG46" s="506"/>
      <c r="AH46" s="506"/>
      <c r="AI46" s="506"/>
      <c r="AJ46" s="506"/>
      <c r="AK46" s="506"/>
      <c r="AL46" s="506"/>
      <c r="AM46" s="506"/>
      <c r="AN46" s="506"/>
      <c r="AO46" s="506"/>
      <c r="AP46" s="506"/>
      <c r="AQ46" s="506"/>
      <c r="AR46" s="506"/>
      <c r="AS46" s="506"/>
      <c r="AT46" s="506"/>
      <c r="AU46" s="506"/>
      <c r="AV46" s="506"/>
      <c r="AW46" s="506"/>
      <c r="AX46" s="506"/>
      <c r="AY46" s="506"/>
      <c r="AZ46" s="506"/>
      <c r="BA46" s="506"/>
      <c r="BB46" s="506"/>
      <c r="BC46" s="506"/>
      <c r="BD46" s="506"/>
      <c r="BE46" s="506"/>
      <c r="BF46" s="506"/>
    </row>
    <row r="47" spans="1:58" s="317" customFormat="1" ht="47.25" customHeight="1" x14ac:dyDescent="0.2">
      <c r="A47" s="836"/>
      <c r="B47" s="843" t="s">
        <v>405</v>
      </c>
      <c r="C47" s="882">
        <f>MIN(100,(SUM('Land Use'!F26:F31)))</f>
        <v>0</v>
      </c>
      <c r="D47" s="840">
        <v>100</v>
      </c>
      <c r="E47" s="830">
        <f>(C47/D47)</f>
        <v>0</v>
      </c>
      <c r="F47" s="337" t="str">
        <f>IF('Land Use'!E26="Yes","Agroforestry is present","Consider establishing an area of agroforestry")</f>
        <v>Consider establishing an area of agroforestry</v>
      </c>
      <c r="G47" s="827" t="str">
        <f>IF(C47=0,"No woodland habitats present. Consider establishing an area of agroforestry, short rotation coppice, woodland, an orchard or farm pond(s) or scrape(s).
By establishing these crops you will be creating additional on farm habitats.",IF(C47=100,"Maximum score Achieved","Consider establishing other crops, please see those marked in red to the left. 
By establishing these woodland habitats you will be creating additional on farm habitats."))</f>
        <v>No woodland habitats present. Consider establishing an area of agroforestry, short rotation coppice, woodland, an orchard or farm pond(s) or scrape(s).
By establishing these crops you will be creating additional on farm habitats.</v>
      </c>
      <c r="H47" s="824"/>
      <c r="I47" s="514"/>
      <c r="J47" s="106"/>
      <c r="K47" s="515"/>
      <c r="L47" s="515"/>
      <c r="M47" s="515"/>
      <c r="N47" s="515"/>
      <c r="O47" s="515"/>
      <c r="P47" s="515"/>
      <c r="Q47" s="515"/>
      <c r="R47" s="515"/>
      <c r="S47" s="336"/>
      <c r="T47" s="336"/>
      <c r="U47" s="336"/>
      <c r="V47" s="336"/>
      <c r="W47" s="336"/>
      <c r="X47" s="336"/>
      <c r="Y47" s="336"/>
      <c r="Z47" s="336"/>
      <c r="AA47" s="336"/>
      <c r="AB47" s="336"/>
      <c r="AC47" s="336"/>
      <c r="AD47" s="336"/>
      <c r="AE47" s="336"/>
      <c r="AF47" s="336"/>
      <c r="AG47" s="506"/>
      <c r="AH47" s="506"/>
      <c r="AI47" s="506"/>
      <c r="AJ47" s="506"/>
      <c r="AK47" s="506"/>
      <c r="AL47" s="506"/>
      <c r="AM47" s="506"/>
      <c r="AN47" s="506"/>
      <c r="AO47" s="506"/>
      <c r="AP47" s="506"/>
      <c r="AQ47" s="506"/>
      <c r="AR47" s="506"/>
      <c r="AS47" s="506"/>
      <c r="AT47" s="506"/>
      <c r="AU47" s="506"/>
      <c r="AV47" s="506"/>
      <c r="AW47" s="506"/>
      <c r="AX47" s="506"/>
      <c r="AY47" s="506"/>
      <c r="AZ47" s="506"/>
      <c r="BA47" s="506"/>
      <c r="BB47" s="506"/>
      <c r="BC47" s="506"/>
      <c r="BD47" s="506"/>
      <c r="BE47" s="506"/>
      <c r="BF47" s="506"/>
    </row>
    <row r="48" spans="1:58" s="317" customFormat="1" ht="47.25" customHeight="1" x14ac:dyDescent="0.2">
      <c r="A48" s="836"/>
      <c r="B48" s="844"/>
      <c r="C48" s="877"/>
      <c r="D48" s="841"/>
      <c r="E48" s="831"/>
      <c r="F48" s="338" t="str">
        <f>IF('Land Use'!E27="Yes","Short rotation coppice is present","Consider planting short rotation coppice")</f>
        <v>Consider planting short rotation coppice</v>
      </c>
      <c r="G48" s="828"/>
      <c r="H48" s="825"/>
      <c r="I48" s="514"/>
      <c r="J48" s="515"/>
      <c r="K48" s="515"/>
      <c r="L48" s="515"/>
      <c r="M48" s="515"/>
      <c r="N48" s="515"/>
      <c r="O48" s="515"/>
      <c r="P48" s="515"/>
      <c r="Q48" s="515"/>
      <c r="R48" s="515"/>
      <c r="S48" s="336"/>
      <c r="T48" s="336"/>
      <c r="U48" s="336"/>
      <c r="V48" s="336"/>
      <c r="W48" s="336"/>
      <c r="X48" s="336"/>
      <c r="Y48" s="336"/>
      <c r="Z48" s="336"/>
      <c r="AA48" s="336"/>
      <c r="AB48" s="336"/>
      <c r="AC48" s="336"/>
      <c r="AD48" s="336"/>
      <c r="AE48" s="336"/>
      <c r="AF48" s="336"/>
      <c r="AG48" s="506"/>
      <c r="AH48" s="506"/>
      <c r="AI48" s="506"/>
      <c r="AJ48" s="506"/>
      <c r="AK48" s="506"/>
      <c r="AL48" s="506"/>
      <c r="AM48" s="506"/>
      <c r="AN48" s="506"/>
      <c r="AO48" s="506"/>
      <c r="AP48" s="506"/>
      <c r="AQ48" s="506"/>
      <c r="AR48" s="506"/>
      <c r="AS48" s="506"/>
      <c r="AT48" s="506"/>
      <c r="AU48" s="506"/>
      <c r="AV48" s="506"/>
      <c r="AW48" s="506"/>
      <c r="AX48" s="506"/>
      <c r="AY48" s="506"/>
      <c r="AZ48" s="506"/>
      <c r="BA48" s="506"/>
      <c r="BB48" s="506"/>
      <c r="BC48" s="506"/>
      <c r="BD48" s="506"/>
      <c r="BE48" s="506"/>
      <c r="BF48" s="506"/>
    </row>
    <row r="49" spans="1:58" s="317" customFormat="1" ht="47.25" customHeight="1" x14ac:dyDescent="0.2">
      <c r="A49" s="836"/>
      <c r="B49" s="844"/>
      <c r="C49" s="877"/>
      <c r="D49" s="841"/>
      <c r="E49" s="831"/>
      <c r="F49" s="338" t="str">
        <f>IF('Land Use'!E28="Yes","A broadleaf woodland is present","Consider planting an area of broadleaf woodland")</f>
        <v>Consider planting an area of broadleaf woodland</v>
      </c>
      <c r="G49" s="828"/>
      <c r="H49" s="825"/>
      <c r="I49" s="514"/>
      <c r="J49" s="515"/>
      <c r="K49" s="515"/>
      <c r="L49" s="515"/>
      <c r="M49" s="515"/>
      <c r="N49" s="515"/>
      <c r="O49" s="515"/>
      <c r="P49" s="515"/>
      <c r="Q49" s="515"/>
      <c r="R49" s="515"/>
      <c r="S49" s="336"/>
      <c r="T49" s="336"/>
      <c r="U49" s="336"/>
      <c r="V49" s="336"/>
      <c r="W49" s="336"/>
      <c r="X49" s="336"/>
      <c r="Y49" s="336"/>
      <c r="Z49" s="336"/>
      <c r="AA49" s="336"/>
      <c r="AB49" s="336"/>
      <c r="AC49" s="336"/>
      <c r="AD49" s="336"/>
      <c r="AE49" s="336"/>
      <c r="AF49" s="336"/>
      <c r="AG49" s="506"/>
      <c r="AH49" s="506"/>
      <c r="AI49" s="506"/>
      <c r="AJ49" s="506"/>
      <c r="AK49" s="506"/>
      <c r="AL49" s="506"/>
      <c r="AM49" s="506"/>
      <c r="AN49" s="506"/>
      <c r="AO49" s="506"/>
      <c r="AP49" s="506"/>
      <c r="AQ49" s="506"/>
      <c r="AR49" s="506"/>
      <c r="AS49" s="506"/>
      <c r="AT49" s="506"/>
      <c r="AU49" s="506"/>
      <c r="AV49" s="506"/>
      <c r="AW49" s="506"/>
      <c r="AX49" s="506"/>
      <c r="AY49" s="506"/>
      <c r="AZ49" s="506"/>
      <c r="BA49" s="506"/>
      <c r="BB49" s="506"/>
      <c r="BC49" s="506"/>
      <c r="BD49" s="506"/>
      <c r="BE49" s="506"/>
      <c r="BF49" s="506"/>
    </row>
    <row r="50" spans="1:58" s="317" customFormat="1" ht="47.25" customHeight="1" x14ac:dyDescent="0.2">
      <c r="A50" s="836"/>
      <c r="B50" s="844"/>
      <c r="C50" s="877"/>
      <c r="D50" s="841"/>
      <c r="E50" s="831"/>
      <c r="F50" s="338" t="str">
        <f>IF('Land Use'!E29="Yes","A conifer woodland is present","Consider planting a conifer woodland.")</f>
        <v>Consider planting a conifer woodland.</v>
      </c>
      <c r="G50" s="828"/>
      <c r="H50" s="825"/>
      <c r="I50" s="514"/>
      <c r="J50" s="515"/>
      <c r="K50" s="515"/>
      <c r="L50" s="515"/>
      <c r="M50" s="515"/>
      <c r="N50" s="515"/>
      <c r="O50" s="515"/>
      <c r="P50" s="515"/>
      <c r="Q50" s="515"/>
      <c r="R50" s="515"/>
      <c r="S50" s="336"/>
      <c r="T50" s="336"/>
      <c r="U50" s="336"/>
      <c r="V50" s="336"/>
      <c r="W50" s="336"/>
      <c r="X50" s="336"/>
      <c r="Y50" s="336"/>
      <c r="Z50" s="336"/>
      <c r="AA50" s="336"/>
      <c r="AB50" s="336"/>
      <c r="AC50" s="336"/>
      <c r="AD50" s="336"/>
      <c r="AE50" s="336"/>
      <c r="AF50" s="336"/>
      <c r="AG50" s="506"/>
      <c r="AH50" s="506"/>
      <c r="AI50" s="506"/>
      <c r="AJ50" s="506"/>
      <c r="AK50" s="506"/>
      <c r="AL50" s="506"/>
      <c r="AM50" s="506"/>
      <c r="AN50" s="506"/>
      <c r="AO50" s="506"/>
      <c r="AP50" s="506"/>
      <c r="AQ50" s="506"/>
      <c r="AR50" s="506"/>
      <c r="AS50" s="506"/>
      <c r="AT50" s="506"/>
      <c r="AU50" s="506"/>
      <c r="AV50" s="506"/>
      <c r="AW50" s="506"/>
      <c r="AX50" s="506"/>
      <c r="AY50" s="506"/>
      <c r="AZ50" s="506"/>
      <c r="BA50" s="506"/>
      <c r="BB50" s="506"/>
      <c r="BC50" s="506"/>
      <c r="BD50" s="506"/>
      <c r="BE50" s="506"/>
      <c r="BF50" s="506"/>
    </row>
    <row r="51" spans="1:58" s="317" customFormat="1" ht="47.25" customHeight="1" x14ac:dyDescent="0.2">
      <c r="A51" s="836"/>
      <c r="B51" s="844"/>
      <c r="C51" s="877"/>
      <c r="D51" s="841"/>
      <c r="E51" s="831"/>
      <c r="F51" s="338" t="str">
        <f>IF('Land Use'!E30="Yes","An orchard is present","Consider planting an orchard")</f>
        <v>Consider planting an orchard</v>
      </c>
      <c r="G51" s="828"/>
      <c r="H51" s="825"/>
      <c r="I51" s="514"/>
      <c r="J51" s="515"/>
      <c r="K51" s="515"/>
      <c r="L51" s="515"/>
      <c r="M51" s="515"/>
      <c r="N51" s="515"/>
      <c r="O51" s="515"/>
      <c r="P51" s="515"/>
      <c r="Q51" s="515"/>
      <c r="R51" s="515"/>
      <c r="S51" s="336"/>
      <c r="T51" s="336"/>
      <c r="U51" s="336"/>
      <c r="V51" s="336"/>
      <c r="W51" s="336"/>
      <c r="X51" s="336"/>
      <c r="Y51" s="336"/>
      <c r="Z51" s="336"/>
      <c r="AA51" s="336"/>
      <c r="AB51" s="336"/>
      <c r="AC51" s="336"/>
      <c r="AD51" s="336"/>
      <c r="AE51" s="336"/>
      <c r="AF51" s="336"/>
      <c r="AG51" s="506"/>
      <c r="AH51" s="506"/>
      <c r="AI51" s="506"/>
      <c r="AJ51" s="506"/>
      <c r="AK51" s="506"/>
      <c r="AL51" s="506"/>
      <c r="AM51" s="506"/>
      <c r="AN51" s="506"/>
      <c r="AO51" s="506"/>
      <c r="AP51" s="506"/>
      <c r="AQ51" s="506"/>
      <c r="AR51" s="506"/>
      <c r="AS51" s="506"/>
      <c r="AT51" s="506"/>
      <c r="AU51" s="506"/>
      <c r="AV51" s="506"/>
      <c r="AW51" s="506"/>
      <c r="AX51" s="506"/>
      <c r="AY51" s="506"/>
      <c r="AZ51" s="506"/>
      <c r="BA51" s="506"/>
      <c r="BB51" s="506"/>
      <c r="BC51" s="506"/>
      <c r="BD51" s="506"/>
      <c r="BE51" s="506"/>
      <c r="BF51" s="506"/>
    </row>
    <row r="52" spans="1:58" s="317" customFormat="1" ht="47.25" customHeight="1" thickBot="1" x14ac:dyDescent="0.25">
      <c r="A52" s="837"/>
      <c r="B52" s="889"/>
      <c r="C52" s="906"/>
      <c r="D52" s="842"/>
      <c r="E52" s="832"/>
      <c r="F52" s="345" t="str">
        <f>IF('Land Use'!E31="Yes","Farm ponds or scrapes are present","Consider establishing a farm pond or scrapes")</f>
        <v>Consider establishing a farm pond or scrapes</v>
      </c>
      <c r="G52" s="829"/>
      <c r="H52" s="826"/>
      <c r="I52" s="514"/>
      <c r="J52" s="515"/>
      <c r="K52" s="515"/>
      <c r="L52" s="515"/>
      <c r="M52" s="515"/>
      <c r="N52" s="515"/>
      <c r="O52" s="515"/>
      <c r="P52" s="515"/>
      <c r="Q52" s="515"/>
      <c r="R52" s="515"/>
      <c r="S52" s="336"/>
      <c r="T52" s="336"/>
      <c r="U52" s="336"/>
      <c r="V52" s="336"/>
      <c r="W52" s="336"/>
      <c r="X52" s="336"/>
      <c r="Y52" s="336"/>
      <c r="Z52" s="336"/>
      <c r="AA52" s="336"/>
      <c r="AB52" s="336"/>
      <c r="AC52" s="336"/>
      <c r="AD52" s="336"/>
      <c r="AE52" s="336"/>
      <c r="AF52" s="336"/>
      <c r="AG52" s="506"/>
      <c r="AH52" s="506"/>
      <c r="AI52" s="506"/>
      <c r="AJ52" s="506"/>
      <c r="AK52" s="506"/>
      <c r="AL52" s="506"/>
      <c r="AM52" s="506"/>
      <c r="AN52" s="506"/>
      <c r="AO52" s="506"/>
      <c r="AP52" s="506"/>
      <c r="AQ52" s="506"/>
      <c r="AR52" s="506"/>
      <c r="AS52" s="506"/>
      <c r="AT52" s="506"/>
      <c r="AU52" s="506"/>
      <c r="AV52" s="506"/>
      <c r="AW52" s="506"/>
      <c r="AX52" s="506"/>
      <c r="AY52" s="506"/>
      <c r="AZ52" s="506"/>
      <c r="BA52" s="506"/>
      <c r="BB52" s="506"/>
      <c r="BC52" s="506"/>
      <c r="BD52" s="506"/>
      <c r="BE52" s="506"/>
      <c r="BF52" s="506"/>
    </row>
    <row r="53" spans="1:58" s="317" customFormat="1" ht="54.75" customHeight="1" x14ac:dyDescent="0.2">
      <c r="A53" s="862" t="s">
        <v>62</v>
      </c>
      <c r="B53" s="871" t="s">
        <v>214</v>
      </c>
      <c r="C53" s="882">
        <f>MIN(60,(SUM(General!$F$4:$F$11)))</f>
        <v>0</v>
      </c>
      <c r="D53" s="797">
        <v>60</v>
      </c>
      <c r="E53" s="830">
        <f>(C53/D53)</f>
        <v>0</v>
      </c>
      <c r="F53" s="346" t="str">
        <f>IF(General!$E$3="No (Go to Q2.2.1)","No watercourses present",IF(AND(General!E4=0)," ",IF(AND(General!F4=10),"Sheugh maintenance and cleaning is currently carried out during the autumn to later winter period",IF(AND(General!F4=0),"Consider carrying out sheugh maintenance and cleaning during the autumn or late winter period."))))</f>
        <v xml:space="preserve"> </v>
      </c>
      <c r="G53" s="845" t="str">
        <f>IF(General!E3= "No (Go to Q2.2.1)","No watercourses present",IF(AND(C53&gt;=0,C53&lt;60),"Consider some of the following practices which are highlighted in red to the left.",IF(AND(C53=60),"Maximum score Achieved")))</f>
        <v>Consider some of the following practices which are highlighted in red to the left.</v>
      </c>
      <c r="H53" s="347" t="s">
        <v>144</v>
      </c>
      <c r="I53" s="508"/>
      <c r="J53" s="513"/>
      <c r="K53" s="510"/>
      <c r="L53" s="510"/>
      <c r="M53" s="510"/>
      <c r="N53" s="510"/>
      <c r="O53" s="510"/>
      <c r="P53" s="515"/>
      <c r="Q53" s="515"/>
      <c r="R53" s="510"/>
      <c r="S53" s="336"/>
      <c r="T53" s="336"/>
      <c r="U53" s="336"/>
      <c r="V53" s="336"/>
      <c r="W53" s="336"/>
      <c r="X53" s="336"/>
      <c r="Y53" s="336"/>
      <c r="Z53" s="336"/>
      <c r="AA53" s="336"/>
      <c r="AB53" s="336"/>
      <c r="AC53" s="336"/>
      <c r="AD53" s="336"/>
      <c r="AE53" s="336"/>
      <c r="AF53" s="336"/>
      <c r="AG53" s="506"/>
      <c r="AH53" s="506"/>
      <c r="AI53" s="506"/>
      <c r="AJ53" s="506"/>
      <c r="AK53" s="506"/>
      <c r="AL53" s="506"/>
      <c r="AM53" s="506"/>
      <c r="AN53" s="506"/>
      <c r="AO53" s="506"/>
      <c r="AP53" s="506"/>
      <c r="AQ53" s="506"/>
      <c r="AR53" s="506"/>
      <c r="AS53" s="506"/>
      <c r="AT53" s="506"/>
      <c r="AU53" s="506"/>
      <c r="AV53" s="506"/>
      <c r="AW53" s="506"/>
      <c r="AX53" s="506"/>
      <c r="AY53" s="506"/>
      <c r="AZ53" s="506"/>
      <c r="BA53" s="506"/>
      <c r="BB53" s="506"/>
      <c r="BC53" s="506"/>
      <c r="BD53" s="506"/>
      <c r="BE53" s="506"/>
      <c r="BF53" s="506"/>
    </row>
    <row r="54" spans="1:58" s="317" customFormat="1" ht="54.75" customHeight="1" x14ac:dyDescent="0.2">
      <c r="A54" s="863"/>
      <c r="B54" s="872"/>
      <c r="C54" s="877"/>
      <c r="D54" s="778"/>
      <c r="E54" s="831"/>
      <c r="F54" s="346" t="str">
        <f>IF(General!$E$3="No (Go to Q2.2.1)","No watercourses present",IF(AND(General!E5=0)," ",IF(AND(General!F5=10),"When sheughs are cleaned, they are currently not deepened or widened",IF(AND(General!F5=0),"Clean out sheughs without making them deeper or wider."))))</f>
        <v xml:space="preserve"> </v>
      </c>
      <c r="G54" s="846"/>
      <c r="H54" s="853"/>
      <c r="I54" s="508"/>
      <c r="J54" s="513"/>
      <c r="K54" s="510"/>
      <c r="L54" s="510"/>
      <c r="M54" s="510"/>
      <c r="N54" s="510"/>
      <c r="O54" s="510"/>
      <c r="P54" s="510"/>
      <c r="Q54" s="510"/>
      <c r="R54" s="510"/>
      <c r="S54" s="336"/>
      <c r="T54" s="336"/>
      <c r="U54" s="336"/>
      <c r="V54" s="336"/>
      <c r="W54" s="336"/>
      <c r="X54" s="336"/>
      <c r="Y54" s="336"/>
      <c r="Z54" s="336"/>
      <c r="AA54" s="336"/>
      <c r="AB54" s="336"/>
      <c r="AC54" s="336"/>
      <c r="AD54" s="336"/>
      <c r="AE54" s="336"/>
      <c r="AF54" s="336"/>
      <c r="AG54" s="506"/>
      <c r="AH54" s="506"/>
      <c r="AI54" s="506"/>
      <c r="AJ54" s="506"/>
      <c r="AK54" s="506"/>
      <c r="AL54" s="506"/>
      <c r="AM54" s="506"/>
      <c r="AN54" s="506"/>
      <c r="AO54" s="506"/>
      <c r="AP54" s="506"/>
      <c r="AQ54" s="506"/>
      <c r="AR54" s="506"/>
      <c r="AS54" s="506"/>
      <c r="AT54" s="506"/>
      <c r="AU54" s="506"/>
      <c r="AV54" s="506"/>
      <c r="AW54" s="506"/>
      <c r="AX54" s="506"/>
      <c r="AY54" s="506"/>
      <c r="AZ54" s="506"/>
      <c r="BA54" s="506"/>
      <c r="BB54" s="506"/>
      <c r="BC54" s="506"/>
      <c r="BD54" s="506"/>
      <c r="BE54" s="506"/>
      <c r="BF54" s="506"/>
    </row>
    <row r="55" spans="1:58" s="317" customFormat="1" ht="54.75" customHeight="1" x14ac:dyDescent="0.2">
      <c r="A55" s="863"/>
      <c r="B55" s="872"/>
      <c r="C55" s="877"/>
      <c r="D55" s="778"/>
      <c r="E55" s="831"/>
      <c r="F55" s="346" t="str">
        <f>IF(General!$E$3="No (Go to Q2.2.1)","No watercourses present",IF(AND(General!E6=0)," ",IF(AND(General!F6=10),"When sheughs are cleaned, some water-loving plants are currently retained",IF(AND(General!F6=0),"When cleaning sheughs, retain some water-loving plants e.g. water mint."))))</f>
        <v xml:space="preserve"> </v>
      </c>
      <c r="G55" s="846"/>
      <c r="H55" s="853"/>
      <c r="I55" s="516"/>
      <c r="J55" s="513"/>
      <c r="K55" s="510"/>
      <c r="L55" s="510"/>
      <c r="M55" s="336"/>
      <c r="N55" s="510"/>
      <c r="O55" s="510"/>
      <c r="P55" s="510"/>
      <c r="Q55" s="510"/>
      <c r="R55" s="510"/>
      <c r="S55" s="336"/>
      <c r="T55" s="336"/>
      <c r="U55" s="336"/>
      <c r="V55" s="336"/>
      <c r="W55" s="336"/>
      <c r="X55" s="336"/>
      <c r="Y55" s="336"/>
      <c r="Z55" s="336"/>
      <c r="AA55" s="336"/>
      <c r="AB55" s="336"/>
      <c r="AC55" s="336"/>
      <c r="AD55" s="336"/>
      <c r="AE55" s="336"/>
      <c r="AF55" s="336"/>
      <c r="AG55" s="506"/>
      <c r="AH55" s="506"/>
      <c r="AI55" s="506"/>
      <c r="AJ55" s="506"/>
      <c r="AK55" s="506"/>
      <c r="AL55" s="506"/>
      <c r="AM55" s="506"/>
      <c r="AN55" s="506"/>
      <c r="AO55" s="506"/>
      <c r="AP55" s="506"/>
      <c r="AQ55" s="506"/>
      <c r="AR55" s="506"/>
      <c r="AS55" s="506"/>
      <c r="AT55" s="506"/>
      <c r="AU55" s="506"/>
      <c r="AV55" s="506"/>
      <c r="AW55" s="506"/>
      <c r="AX55" s="506"/>
      <c r="AY55" s="506"/>
      <c r="AZ55" s="506"/>
      <c r="BA55" s="506"/>
      <c r="BB55" s="506"/>
      <c r="BC55" s="506"/>
      <c r="BD55" s="506"/>
      <c r="BE55" s="506"/>
      <c r="BF55" s="506"/>
    </row>
    <row r="56" spans="1:58" s="317" customFormat="1" ht="54.75" customHeight="1" x14ac:dyDescent="0.2">
      <c r="A56" s="863"/>
      <c r="B56" s="872"/>
      <c r="C56" s="877"/>
      <c r="D56" s="778"/>
      <c r="E56" s="831"/>
      <c r="F56" s="346" t="str">
        <f>IF(General!$E$3="No (Go to Q2.2.1)","No watercourses present",IF(AND(General!E7=0)," ",IF(AND(General!F7=10),"When cleaning sheughs, a balance of trees, shrubs and fringing vegetation is maintained",IF(AND(General!F7=0),"When sheughs are cleaned, consider leaving a balance of trees, shrubs and fringing vegetation."))))</f>
        <v xml:space="preserve"> </v>
      </c>
      <c r="G56" s="846"/>
      <c r="H56" s="853"/>
      <c r="I56" s="516"/>
      <c r="J56" s="513"/>
      <c r="K56" s="510"/>
      <c r="L56" s="510"/>
      <c r="M56" s="336"/>
      <c r="N56" s="510"/>
      <c r="O56" s="510"/>
      <c r="P56" s="510"/>
      <c r="Q56" s="510"/>
      <c r="R56" s="510"/>
      <c r="S56" s="336"/>
      <c r="T56" s="336"/>
      <c r="U56" s="336"/>
      <c r="V56" s="336"/>
      <c r="W56" s="336"/>
      <c r="X56" s="336"/>
      <c r="Y56" s="336"/>
      <c r="Z56" s="336"/>
      <c r="AA56" s="336"/>
      <c r="AB56" s="336"/>
      <c r="AC56" s="336"/>
      <c r="AD56" s="336"/>
      <c r="AE56" s="336"/>
      <c r="AF56" s="336"/>
      <c r="AG56" s="506"/>
      <c r="AH56" s="506"/>
      <c r="AI56" s="506"/>
      <c r="AJ56" s="506"/>
      <c r="AK56" s="506"/>
      <c r="AL56" s="506"/>
      <c r="AM56" s="506"/>
      <c r="AN56" s="506"/>
      <c r="AO56" s="506"/>
      <c r="AP56" s="506"/>
      <c r="AQ56" s="506"/>
      <c r="AR56" s="506"/>
      <c r="AS56" s="506"/>
      <c r="AT56" s="506"/>
      <c r="AU56" s="506"/>
      <c r="AV56" s="506"/>
      <c r="AW56" s="506"/>
      <c r="AX56" s="506"/>
      <c r="AY56" s="506"/>
      <c r="AZ56" s="506"/>
      <c r="BA56" s="506"/>
      <c r="BB56" s="506"/>
      <c r="BC56" s="506"/>
      <c r="BD56" s="506"/>
      <c r="BE56" s="506"/>
      <c r="BF56" s="506"/>
    </row>
    <row r="57" spans="1:58" s="317" customFormat="1" ht="54.75" customHeight="1" x14ac:dyDescent="0.2">
      <c r="A57" s="863"/>
      <c r="B57" s="872"/>
      <c r="C57" s="877"/>
      <c r="D57" s="778"/>
      <c r="E57" s="831"/>
      <c r="F57" s="348" t="str">
        <f>IF(General!$E$3="No (Go to Q2.2.1)","No watercourses present",IF(AND(General!E8=0)," ",IF(AND(General!F8=10),"1m of vegetation is left unmowed, ungrazed along a watercourse or when mowed, the vegetation is mowed in phases or one bank is left untouched",IF(AND(General!F8=0),"Consider leaving 1m of vegetation along the bank of a watercourse unmowed and ungrazed."))))</f>
        <v xml:space="preserve"> </v>
      </c>
      <c r="G57" s="846"/>
      <c r="H57" s="853"/>
      <c r="I57" s="516"/>
      <c r="J57" s="513"/>
      <c r="K57" s="510"/>
      <c r="L57" s="510"/>
      <c r="M57" s="336"/>
      <c r="N57" s="510"/>
      <c r="O57" s="510"/>
      <c r="P57" s="510"/>
      <c r="Q57" s="510"/>
      <c r="R57" s="510"/>
      <c r="S57" s="336"/>
      <c r="T57" s="336"/>
      <c r="U57" s="336"/>
      <c r="V57" s="336"/>
      <c r="W57" s="336"/>
      <c r="X57" s="336"/>
      <c r="Y57" s="336"/>
      <c r="Z57" s="336"/>
      <c r="AA57" s="336"/>
      <c r="AB57" s="336"/>
      <c r="AC57" s="336"/>
      <c r="AD57" s="336"/>
      <c r="AE57" s="336"/>
      <c r="AF57" s="336"/>
      <c r="AG57" s="506"/>
      <c r="AH57" s="506"/>
      <c r="AI57" s="506"/>
      <c r="AJ57" s="506"/>
      <c r="AK57" s="506"/>
      <c r="AL57" s="506"/>
      <c r="AM57" s="506"/>
      <c r="AN57" s="506"/>
      <c r="AO57" s="506"/>
      <c r="AP57" s="506"/>
      <c r="AQ57" s="506"/>
      <c r="AR57" s="506"/>
      <c r="AS57" s="506"/>
      <c r="AT57" s="506"/>
      <c r="AU57" s="506"/>
      <c r="AV57" s="506"/>
      <c r="AW57" s="506"/>
      <c r="AX57" s="506"/>
      <c r="AY57" s="506"/>
      <c r="AZ57" s="506"/>
      <c r="BA57" s="506"/>
      <c r="BB57" s="506"/>
      <c r="BC57" s="506"/>
      <c r="BD57" s="506"/>
      <c r="BE57" s="506"/>
      <c r="BF57" s="506"/>
    </row>
    <row r="58" spans="1:58" s="317" customFormat="1" ht="80.25" customHeight="1" x14ac:dyDescent="0.2">
      <c r="A58" s="863"/>
      <c r="B58" s="872"/>
      <c r="C58" s="877"/>
      <c r="D58" s="778"/>
      <c r="E58" s="831"/>
      <c r="F58" s="348" t="str">
        <f>IF(General!$E$3="No (Go to Q2.2.1)","No watercourses present",IF(AND(General!E9=0)," ",IF(AND(General!F9=10),"Watercourses are buffered with a woody or grass margin",IF(AND(General!F9=0),"Consider creating a buffer along watercourses which are adjacent to productive crop or grass fields with a woody or grass margin. Buffers will prevent excess nutrients reaching the waterway."))))</f>
        <v xml:space="preserve"> </v>
      </c>
      <c r="G58" s="846"/>
      <c r="H58" s="853"/>
      <c r="I58" s="516"/>
      <c r="J58" s="513"/>
      <c r="K58" s="510"/>
      <c r="L58" s="510"/>
      <c r="M58" s="336"/>
      <c r="N58" s="510"/>
      <c r="O58" s="510"/>
      <c r="P58" s="510"/>
      <c r="Q58" s="510"/>
      <c r="R58" s="510"/>
      <c r="S58" s="336"/>
      <c r="T58" s="336"/>
      <c r="U58" s="336"/>
      <c r="V58" s="336"/>
      <c r="W58" s="336"/>
      <c r="X58" s="336"/>
      <c r="Y58" s="336"/>
      <c r="Z58" s="336"/>
      <c r="AA58" s="336"/>
      <c r="AB58" s="336"/>
      <c r="AC58" s="336"/>
      <c r="AD58" s="336"/>
      <c r="AE58" s="336"/>
      <c r="AF58" s="336"/>
      <c r="AG58" s="506"/>
      <c r="AH58" s="506"/>
      <c r="AI58" s="506"/>
      <c r="AJ58" s="506"/>
      <c r="AK58" s="506"/>
      <c r="AL58" s="506"/>
      <c r="AM58" s="506"/>
      <c r="AN58" s="506"/>
      <c r="AO58" s="506"/>
      <c r="AP58" s="506"/>
      <c r="AQ58" s="506"/>
      <c r="AR58" s="506"/>
      <c r="AS58" s="506"/>
      <c r="AT58" s="506"/>
      <c r="AU58" s="506"/>
      <c r="AV58" s="506"/>
      <c r="AW58" s="506"/>
      <c r="AX58" s="506"/>
      <c r="AY58" s="506"/>
      <c r="AZ58" s="506"/>
      <c r="BA58" s="506"/>
      <c r="BB58" s="506"/>
      <c r="BC58" s="506"/>
      <c r="BD58" s="506"/>
      <c r="BE58" s="506"/>
      <c r="BF58" s="506"/>
    </row>
    <row r="59" spans="1:58" s="317" customFormat="1" ht="54.75" customHeight="1" x14ac:dyDescent="0.2">
      <c r="A59" s="863"/>
      <c r="B59" s="872"/>
      <c r="C59" s="877"/>
      <c r="D59" s="778"/>
      <c r="E59" s="831"/>
      <c r="F59" s="349">
        <f>General!D10</f>
        <v>0</v>
      </c>
      <c r="G59" s="846"/>
      <c r="H59" s="853"/>
      <c r="I59" s="432"/>
      <c r="J59" s="510"/>
      <c r="K59" s="510"/>
      <c r="L59" s="510"/>
      <c r="M59" s="336"/>
      <c r="N59" s="510"/>
      <c r="O59" s="510"/>
      <c r="P59" s="510"/>
      <c r="Q59" s="510"/>
      <c r="R59" s="510"/>
      <c r="S59" s="336"/>
      <c r="T59" s="336"/>
      <c r="U59" s="336"/>
      <c r="V59" s="336"/>
      <c r="W59" s="336"/>
      <c r="X59" s="336"/>
      <c r="Y59" s="336"/>
      <c r="Z59" s="336"/>
      <c r="AA59" s="336"/>
      <c r="AB59" s="336"/>
      <c r="AC59" s="336"/>
      <c r="AD59" s="336"/>
      <c r="AE59" s="336"/>
      <c r="AF59" s="336"/>
      <c r="AG59" s="506"/>
      <c r="AH59" s="506"/>
      <c r="AI59" s="506"/>
      <c r="AJ59" s="506"/>
      <c r="AK59" s="506"/>
      <c r="AL59" s="506"/>
      <c r="AM59" s="506"/>
      <c r="AN59" s="506"/>
      <c r="AO59" s="506"/>
      <c r="AP59" s="506"/>
      <c r="AQ59" s="506"/>
      <c r="AR59" s="506"/>
      <c r="AS59" s="506"/>
      <c r="AT59" s="506"/>
      <c r="AU59" s="506"/>
      <c r="AV59" s="506"/>
      <c r="AW59" s="506"/>
      <c r="AX59" s="506"/>
      <c r="AY59" s="506"/>
      <c r="AZ59" s="506"/>
      <c r="BA59" s="506"/>
      <c r="BB59" s="506"/>
      <c r="BC59" s="506"/>
      <c r="BD59" s="506"/>
      <c r="BE59" s="506"/>
      <c r="BF59" s="506"/>
    </row>
    <row r="60" spans="1:58" s="317" customFormat="1" ht="54.75" customHeight="1" thickBot="1" x14ac:dyDescent="0.25">
      <c r="A60" s="863"/>
      <c r="B60" s="885"/>
      <c r="C60" s="906"/>
      <c r="D60" s="773"/>
      <c r="E60" s="832"/>
      <c r="F60" s="350">
        <f>General!D11</f>
        <v>0</v>
      </c>
      <c r="G60" s="870"/>
      <c r="H60" s="854"/>
      <c r="I60" s="432"/>
      <c r="J60" s="510"/>
      <c r="K60" s="510"/>
      <c r="L60" s="510"/>
      <c r="M60" s="510"/>
      <c r="N60" s="510"/>
      <c r="O60" s="510"/>
      <c r="P60" s="510"/>
      <c r="Q60" s="510"/>
      <c r="R60" s="510"/>
      <c r="S60" s="336"/>
      <c r="T60" s="336"/>
      <c r="U60" s="336"/>
      <c r="V60" s="336"/>
      <c r="W60" s="336"/>
      <c r="X60" s="336"/>
      <c r="Y60" s="336"/>
      <c r="Z60" s="336"/>
      <c r="AA60" s="336"/>
      <c r="AB60" s="336"/>
      <c r="AC60" s="336"/>
      <c r="AD60" s="336"/>
      <c r="AE60" s="336"/>
      <c r="AF60" s="336"/>
      <c r="AG60" s="506"/>
      <c r="AH60" s="506"/>
      <c r="AI60" s="506"/>
      <c r="AJ60" s="506"/>
      <c r="AK60" s="506"/>
      <c r="AL60" s="506"/>
      <c r="AM60" s="506"/>
      <c r="AN60" s="506"/>
      <c r="AO60" s="506"/>
      <c r="AP60" s="506"/>
      <c r="AQ60" s="506"/>
      <c r="AR60" s="506"/>
      <c r="AS60" s="506"/>
      <c r="AT60" s="506"/>
      <c r="AU60" s="506"/>
      <c r="AV60" s="506"/>
      <c r="AW60" s="506"/>
      <c r="AX60" s="506"/>
      <c r="AY60" s="506"/>
      <c r="AZ60" s="506"/>
      <c r="BA60" s="506"/>
      <c r="BB60" s="506"/>
      <c r="BC60" s="506"/>
      <c r="BD60" s="506"/>
      <c r="BE60" s="506"/>
      <c r="BF60" s="506"/>
    </row>
    <row r="61" spans="1:58" s="317" customFormat="1" ht="54.75" customHeight="1" x14ac:dyDescent="0.2">
      <c r="A61" s="863"/>
      <c r="B61" s="871" t="s">
        <v>292</v>
      </c>
      <c r="C61" s="882">
        <f>MIN(50,(SUM(General!$F$13:$F$19)))</f>
        <v>0</v>
      </c>
      <c r="D61" s="797">
        <v>50</v>
      </c>
      <c r="E61" s="830">
        <f>(C61/D61)</f>
        <v>0</v>
      </c>
      <c r="F61" s="252" t="str">
        <f>IF(General!$E$12="No - Go to Q2.3.1","No farm buildings/yards present",IF(AND(General!E13=0)," ",IF(AND(General!F13=10),"Some farm buildings that are not used to store feed are accessible to nesting birds (such as barn owls or swallows) and/or bats",IF(AND(General!F13=0),"Consider having some farm buildings that are not used for storing feed, accessible to nesting birds and bats"))))</f>
        <v xml:space="preserve"> </v>
      </c>
      <c r="G61" s="845" t="str">
        <f>IF(General!E12= "No - Go to Q2.3.1","No farm buildings/yards present",IF(AND(C61&gt;=0,C61&lt;50),"Consider some of the following practices which are highlighted in red to the left.
These measures can help provide shelter for the different species.",IF(AND(C61=50),"Maximum score Achieved,
You may not have realised that these measures can help provide for biodiversity through offering shelter")))</f>
        <v>Consider some of the following practices which are highlighted in red to the left.
These measures can help provide shelter for the different species.</v>
      </c>
      <c r="H61" s="824"/>
      <c r="I61" s="433"/>
      <c r="J61" s="15"/>
      <c r="K61" s="336"/>
      <c r="L61" s="336"/>
      <c r="M61" s="336"/>
      <c r="N61" s="336"/>
      <c r="O61" s="336"/>
      <c r="P61" s="510"/>
      <c r="Q61" s="510"/>
      <c r="R61" s="336"/>
      <c r="S61" s="336"/>
      <c r="T61" s="336"/>
      <c r="U61" s="336"/>
      <c r="V61" s="336"/>
      <c r="W61" s="336"/>
      <c r="X61" s="336"/>
      <c r="Y61" s="336"/>
      <c r="Z61" s="336"/>
      <c r="AA61" s="336"/>
      <c r="AB61" s="336"/>
      <c r="AC61" s="336"/>
      <c r="AD61" s="336"/>
      <c r="AE61" s="336"/>
      <c r="AF61" s="336"/>
      <c r="AG61" s="506"/>
      <c r="AH61" s="506"/>
      <c r="AI61" s="506"/>
      <c r="AJ61" s="506"/>
      <c r="AK61" s="506"/>
      <c r="AL61" s="506"/>
      <c r="AM61" s="506"/>
      <c r="AN61" s="506"/>
      <c r="AO61" s="506"/>
      <c r="AP61" s="506"/>
      <c r="AQ61" s="506"/>
      <c r="AR61" s="506"/>
      <c r="AS61" s="506"/>
      <c r="AT61" s="506"/>
      <c r="AU61" s="506"/>
      <c r="AV61" s="506"/>
      <c r="AW61" s="506"/>
      <c r="AX61" s="506"/>
      <c r="AY61" s="506"/>
      <c r="AZ61" s="506"/>
      <c r="BA61" s="506"/>
      <c r="BB61" s="506"/>
      <c r="BC61" s="506"/>
      <c r="BD61" s="506"/>
      <c r="BE61" s="506"/>
      <c r="BF61" s="506"/>
    </row>
    <row r="62" spans="1:58" s="317" customFormat="1" ht="54.75" customHeight="1" x14ac:dyDescent="0.2">
      <c r="A62" s="863"/>
      <c r="B62" s="872"/>
      <c r="C62" s="877"/>
      <c r="D62" s="778"/>
      <c r="E62" s="831"/>
      <c r="F62" s="349" t="str">
        <f>IF(General!$E$12="No - Go to Q2.3.1","No farm buildings/yards present",IF(AND(General!E14=0)," ",IF(AND(General!F14=10),"Nest boxes for birds are provided",IF(AND(General!F14=0),"Consider providing nest boxes for birds."))))</f>
        <v xml:space="preserve"> </v>
      </c>
      <c r="G62" s="846"/>
      <c r="H62" s="825"/>
      <c r="I62" s="433"/>
      <c r="J62" s="15"/>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506"/>
      <c r="AH62" s="506"/>
      <c r="AI62" s="506"/>
      <c r="AJ62" s="506"/>
      <c r="AK62" s="506"/>
      <c r="AL62" s="506"/>
      <c r="AM62" s="506"/>
      <c r="AN62" s="506"/>
      <c r="AO62" s="506"/>
      <c r="AP62" s="506"/>
      <c r="AQ62" s="506"/>
      <c r="AR62" s="506"/>
      <c r="AS62" s="506"/>
      <c r="AT62" s="506"/>
      <c r="AU62" s="506"/>
      <c r="AV62" s="506"/>
      <c r="AW62" s="506"/>
      <c r="AX62" s="506"/>
      <c r="AY62" s="506"/>
      <c r="AZ62" s="506"/>
      <c r="BA62" s="506"/>
      <c r="BB62" s="506"/>
      <c r="BC62" s="506"/>
      <c r="BD62" s="506"/>
      <c r="BE62" s="506"/>
      <c r="BF62" s="506"/>
    </row>
    <row r="63" spans="1:58" s="317" customFormat="1" ht="54.75" customHeight="1" x14ac:dyDescent="0.2">
      <c r="A63" s="863"/>
      <c r="B63" s="872"/>
      <c r="C63" s="877"/>
      <c r="D63" s="778"/>
      <c r="E63" s="831"/>
      <c r="F63" s="349" t="str">
        <f>IF(General!$E$12="No - Go to Q2.3.1","No farm buildings/yards present",IF(AND(General!E15=0)," ",IF(AND(General!F15=10),"Piles of dead wood are present for insects",IF(AND(General!F15=0),"Consider leaving piles of dead wood for insects."))))</f>
        <v xml:space="preserve"> </v>
      </c>
      <c r="G63" s="846"/>
      <c r="H63" s="825"/>
      <c r="I63" s="433"/>
      <c r="J63" s="15"/>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506"/>
      <c r="AH63" s="506"/>
      <c r="AI63" s="506"/>
      <c r="AJ63" s="506"/>
      <c r="AK63" s="506"/>
      <c r="AL63" s="506"/>
      <c r="AM63" s="506"/>
      <c r="AN63" s="506"/>
      <c r="AO63" s="506"/>
      <c r="AP63" s="506"/>
      <c r="AQ63" s="506"/>
      <c r="AR63" s="506"/>
      <c r="AS63" s="506"/>
      <c r="AT63" s="506"/>
      <c r="AU63" s="506"/>
      <c r="AV63" s="506"/>
      <c r="AW63" s="506"/>
      <c r="AX63" s="506"/>
      <c r="AY63" s="506"/>
      <c r="AZ63" s="506"/>
      <c r="BA63" s="506"/>
      <c r="BB63" s="506"/>
      <c r="BC63" s="506"/>
      <c r="BD63" s="506"/>
      <c r="BE63" s="506"/>
      <c r="BF63" s="506"/>
    </row>
    <row r="64" spans="1:58" s="317" customFormat="1" ht="54.75" customHeight="1" x14ac:dyDescent="0.2">
      <c r="A64" s="863"/>
      <c r="B64" s="872"/>
      <c r="C64" s="877"/>
      <c r="D64" s="778"/>
      <c r="E64" s="831"/>
      <c r="F64" s="349" t="str">
        <f>IF(General!$E$12="No - Go to Q2.3.1","No farm buildings/yards present",IF(AND(General!E16=0)," ",IF(AND(General!F16=10),"Piles of stones/sand are present for bees",IF(AND(General!F16=0),"Consider leaving piles of stones/sand for bees"))))</f>
        <v xml:space="preserve"> </v>
      </c>
      <c r="G64" s="846"/>
      <c r="H64" s="825"/>
      <c r="I64" s="434"/>
      <c r="J64" s="15"/>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506"/>
      <c r="AH64" s="506"/>
      <c r="AI64" s="506"/>
      <c r="AJ64" s="506"/>
      <c r="AK64" s="506"/>
      <c r="AL64" s="506"/>
      <c r="AM64" s="506"/>
      <c r="AN64" s="506"/>
      <c r="AO64" s="506"/>
      <c r="AP64" s="506"/>
      <c r="AQ64" s="506"/>
      <c r="AR64" s="506"/>
      <c r="AS64" s="506"/>
      <c r="AT64" s="506"/>
      <c r="AU64" s="506"/>
      <c r="AV64" s="506"/>
      <c r="AW64" s="506"/>
      <c r="AX64" s="506"/>
      <c r="AY64" s="506"/>
      <c r="AZ64" s="506"/>
      <c r="BA64" s="506"/>
      <c r="BB64" s="506"/>
      <c r="BC64" s="506"/>
      <c r="BD64" s="506"/>
      <c r="BE64" s="506"/>
      <c r="BF64" s="506"/>
    </row>
    <row r="65" spans="1:58" s="317" customFormat="1" ht="93" customHeight="1" x14ac:dyDescent="0.2">
      <c r="A65" s="863"/>
      <c r="B65" s="872"/>
      <c r="C65" s="877"/>
      <c r="D65" s="778"/>
      <c r="E65" s="831"/>
      <c r="F65" s="349" t="str">
        <f>IF(General!$E$12="No - Go to Q2.3.1","No farm buildings/yards present",IF(AND(General!E17=0)," ",IF(AND(General!F17=10),"Bat boxes or other bat shelter are present",IF(AND(General!F17=0),"Consider assembling bat boxes or other bat shelters. 
Bats eat millions of insects every year, they are natural predators to night flying insects, they are important to have on farm to reduce the need for and cost of any chemical control."))))</f>
        <v xml:space="preserve"> </v>
      </c>
      <c r="G65" s="846"/>
      <c r="H65" s="825"/>
      <c r="I65" s="433"/>
      <c r="J65" s="15"/>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506"/>
      <c r="BE65" s="506"/>
      <c r="BF65" s="506"/>
    </row>
    <row r="66" spans="1:58" s="317" customFormat="1" ht="54.75" customHeight="1" x14ac:dyDescent="0.2">
      <c r="A66" s="863"/>
      <c r="B66" s="872"/>
      <c r="C66" s="877"/>
      <c r="D66" s="778"/>
      <c r="E66" s="831"/>
      <c r="F66" s="349">
        <f>General!D18</f>
        <v>0</v>
      </c>
      <c r="G66" s="846"/>
      <c r="H66" s="825"/>
      <c r="I66" s="434"/>
      <c r="J66" s="47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506"/>
      <c r="BE66" s="506"/>
      <c r="BF66" s="506"/>
    </row>
    <row r="67" spans="1:58" s="317" customFormat="1" ht="54.75" customHeight="1" thickBot="1" x14ac:dyDescent="0.25">
      <c r="A67" s="863"/>
      <c r="B67" s="872"/>
      <c r="C67" s="877"/>
      <c r="D67" s="778"/>
      <c r="E67" s="831"/>
      <c r="F67" s="351">
        <f>General!D19</f>
        <v>0</v>
      </c>
      <c r="G67" s="846"/>
      <c r="H67" s="825"/>
      <c r="I67" s="434"/>
      <c r="J67" s="47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506"/>
      <c r="AH67" s="506"/>
      <c r="AI67" s="506"/>
      <c r="AJ67" s="506"/>
      <c r="AK67" s="506"/>
      <c r="AL67" s="506"/>
      <c r="AM67" s="506"/>
      <c r="AN67" s="506"/>
      <c r="AO67" s="506"/>
      <c r="AP67" s="506"/>
      <c r="AQ67" s="506"/>
      <c r="AR67" s="506"/>
      <c r="AS67" s="506"/>
      <c r="AT67" s="506"/>
      <c r="AU67" s="506"/>
      <c r="AV67" s="506"/>
      <c r="AW67" s="506"/>
      <c r="AX67" s="506"/>
      <c r="AY67" s="506"/>
      <c r="AZ67" s="506"/>
      <c r="BA67" s="506"/>
      <c r="BB67" s="506"/>
      <c r="BC67" s="506"/>
      <c r="BD67" s="506"/>
      <c r="BE67" s="506"/>
      <c r="BF67" s="506"/>
    </row>
    <row r="68" spans="1:58" s="317" customFormat="1" ht="42.75" customHeight="1" thickBot="1" x14ac:dyDescent="0.25">
      <c r="A68" s="863"/>
      <c r="B68" s="441" t="s">
        <v>63</v>
      </c>
      <c r="C68" s="440">
        <f>SUM(General!$F$20:$F$20)</f>
        <v>0</v>
      </c>
      <c r="D68" s="439">
        <v>130</v>
      </c>
      <c r="E68" s="438">
        <f>(C68/D68)</f>
        <v>0</v>
      </c>
      <c r="F68" s="30" t="str">
        <f>IF(General!E20="No","No organic farming",IF(General!E20="Yes - All of my land","Currently farming organically, this has benefits for biodiversity.","Currently farming organically, this has benefits for biodiversity."))</f>
        <v>Currently farming organically, this has benefits for biodiversity.</v>
      </c>
      <c r="G68" s="442" t="str">
        <f>IF(C68=0,"Organic farming has many benefits for biodiversity",IF(C68=130,"Maximum score Achieved"," "))</f>
        <v>Organic farming has many benefits for biodiversity</v>
      </c>
      <c r="H68" s="491"/>
      <c r="I68" s="508"/>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506"/>
      <c r="AH68" s="506"/>
      <c r="AI68" s="506"/>
      <c r="AJ68" s="506"/>
      <c r="AK68" s="506"/>
      <c r="AL68" s="506"/>
      <c r="AM68" s="506"/>
      <c r="AN68" s="506"/>
      <c r="AO68" s="506"/>
      <c r="AP68" s="506"/>
      <c r="AQ68" s="506"/>
      <c r="AR68" s="506"/>
      <c r="AS68" s="506"/>
      <c r="AT68" s="506"/>
      <c r="AU68" s="506"/>
      <c r="AV68" s="506"/>
      <c r="AW68" s="506"/>
      <c r="AX68" s="506"/>
      <c r="AY68" s="506"/>
      <c r="AZ68" s="506"/>
      <c r="BA68" s="506"/>
      <c r="BB68" s="506"/>
      <c r="BC68" s="506"/>
      <c r="BD68" s="506"/>
      <c r="BE68" s="506"/>
      <c r="BF68" s="506"/>
    </row>
    <row r="69" spans="1:58" s="317" customFormat="1" ht="68.25" customHeight="1" thickBot="1" x14ac:dyDescent="0.25">
      <c r="A69" s="863"/>
      <c r="B69" s="353" t="s">
        <v>64</v>
      </c>
      <c r="C69" s="325">
        <f>General!F21</f>
        <v>0</v>
      </c>
      <c r="D69" s="354">
        <v>100</v>
      </c>
      <c r="E69" s="327">
        <f>(C69/D69)</f>
        <v>0</v>
      </c>
      <c r="F69" s="355">
        <f>General!D21</f>
        <v>0</v>
      </c>
      <c r="G69" s="356" t="str">
        <f>IF(C69=100,"Maximum score Achieved","Consider using alternative methods to Plant Protection Products (PPP) where possible.")</f>
        <v>Consider using alternative methods to Plant Protection Products (PPP) where possible.</v>
      </c>
      <c r="H69" s="492"/>
      <c r="I69" s="507"/>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506"/>
      <c r="AH69" s="506"/>
      <c r="AI69" s="506"/>
      <c r="AJ69" s="506"/>
      <c r="AK69" s="506"/>
      <c r="AL69" s="506"/>
      <c r="AM69" s="506"/>
      <c r="AN69" s="506"/>
      <c r="AO69" s="506"/>
      <c r="AP69" s="506"/>
      <c r="AQ69" s="506"/>
      <c r="AR69" s="506"/>
      <c r="AS69" s="506"/>
      <c r="AT69" s="506"/>
      <c r="AU69" s="506"/>
      <c r="AV69" s="506"/>
      <c r="AW69" s="506"/>
      <c r="AX69" s="506"/>
      <c r="AY69" s="506"/>
      <c r="AZ69" s="506"/>
      <c r="BA69" s="506"/>
      <c r="BB69" s="506"/>
      <c r="BC69" s="506"/>
      <c r="BD69" s="506"/>
      <c r="BE69" s="506"/>
      <c r="BF69" s="506"/>
    </row>
    <row r="70" spans="1:58" s="317" customFormat="1" ht="54.75" customHeight="1" x14ac:dyDescent="0.2">
      <c r="A70" s="863"/>
      <c r="B70" s="871" t="s">
        <v>213</v>
      </c>
      <c r="C70" s="887">
        <f>MIN(320,(SUM(General!$F$22:$F$31)))</f>
        <v>0</v>
      </c>
      <c r="D70" s="797">
        <v>320</v>
      </c>
      <c r="E70" s="830">
        <f>(C70/D70)</f>
        <v>0</v>
      </c>
      <c r="F70" s="352" t="b">
        <f>IF(General!E22="Always","I ALWAYS aim to reduce my pesticide use to protect wildlife",IF(AND(General!E22="Often"),"I OFTEN aim to reduce my pesticide use to protect wildlife",IF(AND(General!E22="Sometimes"),"I SOMETIMES aim to reduce my pesticide use to protect wildlife. Consider reducing your use of pesticide to help protect wildlife.",IF(AND(General!E22="Rarely"),"I RARELY aim to reduce my pesticide use to protect wildlife. Consider reducing your use of pesticide to help protect wildlife.",IF(AND(General!E22="Never"),"I NEVER aim to reduce my pesticide use to protect wildlife. Consider reducing your use of pesticide to help protect wildlife.")))))</f>
        <v>0</v>
      </c>
      <c r="G70" s="845" t="str">
        <f>IF(C70=320,"Maximum score Achieved","Consider changing your management to always using biodiversity-friendly practices linked to PPP use.
Pease see those highlighted in orange or red to the left.")</f>
        <v>Consider changing your management to always using biodiversity-friendly practices linked to PPP use.
Pease see those highlighted in orange or red to the left.</v>
      </c>
      <c r="H70" s="824"/>
      <c r="I70" s="508"/>
      <c r="J70" s="15"/>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506"/>
      <c r="AH70" s="506"/>
      <c r="AI70" s="506"/>
      <c r="AJ70" s="506"/>
      <c r="AK70" s="506"/>
      <c r="AL70" s="506"/>
      <c r="AM70" s="506"/>
      <c r="AN70" s="506"/>
      <c r="AO70" s="506"/>
      <c r="AP70" s="506"/>
      <c r="AQ70" s="506"/>
      <c r="AR70" s="506"/>
      <c r="AS70" s="506"/>
      <c r="AT70" s="506"/>
      <c r="AU70" s="506"/>
      <c r="AV70" s="506"/>
      <c r="AW70" s="506"/>
      <c r="AX70" s="506"/>
      <c r="AY70" s="506"/>
      <c r="AZ70" s="506"/>
      <c r="BA70" s="506"/>
      <c r="BB70" s="506"/>
      <c r="BC70" s="506"/>
      <c r="BD70" s="506"/>
      <c r="BE70" s="506"/>
      <c r="BF70" s="506"/>
    </row>
    <row r="71" spans="1:58" s="317" customFormat="1" ht="54.75" customHeight="1" x14ac:dyDescent="0.2">
      <c r="A71" s="863"/>
      <c r="B71" s="872"/>
      <c r="C71" s="888"/>
      <c r="D71" s="778"/>
      <c r="E71" s="831"/>
      <c r="F71" s="348" t="b">
        <f>IF(General!E23="Always","I ALWAYS use Integrated Pest Management (IPM)",IF(AND(General!E23="Often"),"I OFTEN use Integrated Pest Management (IPM)",IF(AND(General!E23="Sometimes"),"I SOMETIMES use Integrated Pest Management (IPM). Consider using Integrated Pest Management (IPM).",IF(AND(General!E23="Rarely"),"I RARELY use Integrated Pest Management (IPM). Consider using Integrated Pest Management (IPM).",IF(AND(General!E23="Never"),"I NEVER use Integrated Pest Management (IPM). Consider using Integrated Pest Management (IPM).")))))</f>
        <v>0</v>
      </c>
      <c r="G71" s="846"/>
      <c r="H71" s="825"/>
      <c r="I71" s="508"/>
      <c r="J71" s="15"/>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506"/>
      <c r="AH71" s="506"/>
      <c r="AI71" s="506"/>
      <c r="AJ71" s="506"/>
      <c r="AK71" s="506"/>
      <c r="AL71" s="506"/>
      <c r="AM71" s="506"/>
      <c r="AN71" s="506"/>
      <c r="AO71" s="506"/>
      <c r="AP71" s="506"/>
      <c r="AQ71" s="506"/>
      <c r="AR71" s="506"/>
      <c r="AS71" s="506"/>
      <c r="AT71" s="506"/>
      <c r="AU71" s="506"/>
      <c r="AV71" s="506"/>
      <c r="AW71" s="506"/>
      <c r="AX71" s="506"/>
      <c r="AY71" s="506"/>
      <c r="AZ71" s="506"/>
      <c r="BA71" s="506"/>
      <c r="BB71" s="506"/>
      <c r="BC71" s="506"/>
      <c r="BD71" s="506"/>
      <c r="BE71" s="506"/>
      <c r="BF71" s="506"/>
    </row>
    <row r="72" spans="1:58" s="317" customFormat="1" ht="82.5" customHeight="1" x14ac:dyDescent="0.2">
      <c r="A72" s="863"/>
      <c r="B72" s="872"/>
      <c r="C72" s="888"/>
      <c r="D72" s="778"/>
      <c r="E72" s="831"/>
      <c r="F72" s="348" t="b">
        <f>IF(General!E24="Always","I ALWAYS use specific technologies to reduce pesticide drift (such as low drift nozzles)",IF(AND(General!E24="Often"),"I OFTEN use specific technologies to reduce pesticide drift (such as low drift nozzles)",IF(AND(General!E24="Sometimes"),"I SOMETIMES use specific technologies to reduce pesticide drift. Consider using technologies such as low drift nozzles that will reduce pesticide drift.",IF(AND(General!E24="Rarely"),"I RARELY use specific technologies to reduce pesticide drift. Consider using technologies such as low drift nozzles that will reduce pesticide drift.",IF(AND(General!E24="Never"),"I NEVER use specific technologies to reduce pesticide drift. Consider using technologies such as low drift nozzles that will reduce pesticide drift.")))))</f>
        <v>0</v>
      </c>
      <c r="G72" s="846"/>
      <c r="H72" s="825"/>
      <c r="I72" s="508"/>
      <c r="J72" s="15"/>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506"/>
      <c r="AH72" s="506"/>
      <c r="AI72" s="506"/>
      <c r="AJ72" s="506"/>
      <c r="AK72" s="506"/>
      <c r="AL72" s="506"/>
      <c r="AM72" s="506"/>
      <c r="AN72" s="506"/>
      <c r="AO72" s="506"/>
      <c r="AP72" s="506"/>
      <c r="AQ72" s="506"/>
      <c r="AR72" s="506"/>
      <c r="AS72" s="506"/>
      <c r="AT72" s="506"/>
      <c r="AU72" s="506"/>
      <c r="AV72" s="506"/>
      <c r="AW72" s="506"/>
      <c r="AX72" s="506"/>
      <c r="AY72" s="506"/>
      <c r="AZ72" s="506"/>
      <c r="BA72" s="506"/>
      <c r="BB72" s="506"/>
      <c r="BC72" s="506"/>
      <c r="BD72" s="506"/>
      <c r="BE72" s="506"/>
      <c r="BF72" s="506"/>
    </row>
    <row r="73" spans="1:58" s="317" customFormat="1" ht="71.25" customHeight="1" x14ac:dyDescent="0.2">
      <c r="A73" s="863"/>
      <c r="B73" s="872"/>
      <c r="C73" s="888"/>
      <c r="D73" s="778"/>
      <c r="E73" s="831"/>
      <c r="F73" s="348" t="b">
        <f>IF(General!E25="Always","I ALWAYS replace conventional crop protection products.",IF(AND(General!E25="Often"),"I OFTEN replace conventional crop protection products.",IF(AND(General!E25="Sometimes"),"I SOMETIMES replace conventional crop protection products. Consider using alternatives to replace the use of conventional crop protection products.",IF(AND(General!E25="Rarely"),"I RARELY replace conventional crop protection products. Consider using biological pest control, UV light or crop protection products certified under organic agriculture.",IF(AND(General!E25="Never"),"I NEVER replace conventional crop protection products. Consider using biological pest control, UV light or crop protection products certified under organic agriculture.")))))</f>
        <v>0</v>
      </c>
      <c r="G73" s="846"/>
      <c r="H73" s="825"/>
      <c r="I73" s="508"/>
      <c r="J73" s="15"/>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506"/>
      <c r="AH73" s="506"/>
      <c r="AI73" s="506"/>
      <c r="AJ73" s="506"/>
      <c r="AK73" s="506"/>
      <c r="AL73" s="506"/>
      <c r="AM73" s="506"/>
      <c r="AN73" s="506"/>
      <c r="AO73" s="506"/>
      <c r="AP73" s="506"/>
      <c r="AQ73" s="506"/>
      <c r="AR73" s="506"/>
      <c r="AS73" s="506"/>
      <c r="AT73" s="506"/>
      <c r="AU73" s="506"/>
      <c r="AV73" s="506"/>
      <c r="AW73" s="506"/>
      <c r="AX73" s="506"/>
      <c r="AY73" s="506"/>
      <c r="AZ73" s="506"/>
      <c r="BA73" s="506"/>
      <c r="BB73" s="506"/>
      <c r="BC73" s="506"/>
      <c r="BD73" s="506"/>
      <c r="BE73" s="506"/>
      <c r="BF73" s="506"/>
    </row>
    <row r="74" spans="1:58" s="317" customFormat="1" ht="69.75" customHeight="1" x14ac:dyDescent="0.2">
      <c r="A74" s="863"/>
      <c r="B74" s="872"/>
      <c r="C74" s="888"/>
      <c r="D74" s="778"/>
      <c r="E74" s="831"/>
      <c r="F74" s="348" t="b">
        <f>IF(General!E26="Always","I ALWAYS spot spray, band spray or weed-wipe instead of full-field spraying.",IF(AND(General!E26="Often"),"I OFTEN spot spray, band spray or weed-wipe instead of full-field spraying",IF(AND(General!E26="Sometimes"),"I SOMETIMES spot spray, band spray or weed-wipe instead of full-field spraying. Consider targetting specific weeds using these methods instead of full-field spraying.",IF(AND(General!E26="Rarely"),"I RARELY spot spray, band spray or weed-wipe instead of full-field spraying. Consider targetting specific weeds using these methods instead of full-field spraying.",IF(AND(General!E26="Never"),"I NEVER spot spray, band spray or weed-wipe instead of full-field spraying. Consider targetting specific weeds using these methods instead of full-field spraying.")))))</f>
        <v>0</v>
      </c>
      <c r="G74" s="846"/>
      <c r="H74" s="825"/>
      <c r="I74" s="508"/>
      <c r="J74" s="15"/>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506"/>
      <c r="AH74" s="506"/>
      <c r="AI74" s="506"/>
      <c r="AJ74" s="506"/>
      <c r="AK74" s="506"/>
      <c r="AL74" s="506"/>
      <c r="AM74" s="506"/>
      <c r="AN74" s="506"/>
      <c r="AO74" s="506"/>
      <c r="AP74" s="506"/>
      <c r="AQ74" s="506"/>
      <c r="AR74" s="506"/>
      <c r="AS74" s="506"/>
      <c r="AT74" s="506"/>
      <c r="AU74" s="506"/>
      <c r="AV74" s="506"/>
      <c r="AW74" s="506"/>
      <c r="AX74" s="506"/>
      <c r="AY74" s="506"/>
      <c r="AZ74" s="506"/>
      <c r="BA74" s="506"/>
      <c r="BB74" s="506"/>
      <c r="BC74" s="506"/>
      <c r="BD74" s="506"/>
      <c r="BE74" s="506"/>
      <c r="BF74" s="506"/>
    </row>
    <row r="75" spans="1:58" s="317" customFormat="1" ht="54.75" customHeight="1" x14ac:dyDescent="0.2">
      <c r="A75" s="863"/>
      <c r="B75" s="872"/>
      <c r="C75" s="888"/>
      <c r="D75" s="778"/>
      <c r="E75" s="831"/>
      <c r="F75" s="348" t="b">
        <f>IF(General!E27="Always","I ALWAYS undertake mechanical weed control.",IF(AND(General!E27="Often"),"I OFTEN undertake mechanical weed control",IF(AND(General!E27="Sometimes"),"I SOMETIMES undertake mechanical weed control. Consider using this method to control weeds.",IF(AND(General!E27="Rarely"),"I RARELY undertake mechanical weed control. Consider using this method to control weeds.",IF(AND(General!E27="Never"),"I NEVER undertake mechanical weed control. Consider using this method to control weeds.")))))</f>
        <v>0</v>
      </c>
      <c r="G75" s="846"/>
      <c r="H75" s="825"/>
      <c r="I75" s="508"/>
      <c r="J75" s="15"/>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506"/>
      <c r="AH75" s="506"/>
      <c r="AI75" s="506"/>
      <c r="AJ75" s="506"/>
      <c r="AK75" s="506"/>
      <c r="AL75" s="506"/>
      <c r="AM75" s="506"/>
      <c r="AN75" s="506"/>
      <c r="AO75" s="506"/>
      <c r="AP75" s="506"/>
      <c r="AQ75" s="506"/>
      <c r="AR75" s="506"/>
      <c r="AS75" s="506"/>
      <c r="AT75" s="506"/>
      <c r="AU75" s="506"/>
      <c r="AV75" s="506"/>
      <c r="AW75" s="506"/>
      <c r="AX75" s="506"/>
      <c r="AY75" s="506"/>
      <c r="AZ75" s="506"/>
      <c r="BA75" s="506"/>
      <c r="BB75" s="506"/>
      <c r="BC75" s="506"/>
      <c r="BD75" s="506"/>
      <c r="BE75" s="506"/>
      <c r="BF75" s="506"/>
    </row>
    <row r="76" spans="1:58" s="317" customFormat="1" ht="54.75" customHeight="1" x14ac:dyDescent="0.2">
      <c r="A76" s="863"/>
      <c r="B76" s="872"/>
      <c r="C76" s="888"/>
      <c r="D76" s="778"/>
      <c r="E76" s="831"/>
      <c r="F76" s="348" t="b">
        <f>IF(General!E28="Always","I ALWAYS control weeds manually",IF(AND(General!E28="Often"),"I OFTEN control weeds manually",IF(AND(General!E28="Sometimes"),"I SOMETIMES control weeds manually. Consider using this method to control weeds.",IF(AND(General!E28="Rarely"),"I RARELY control weeds manually. Consider using this method to control weeds.",IF(AND(General!E28="Never"),"I NEVER control weeds manually. Consider using this method to control weeds.")))))</f>
        <v>0</v>
      </c>
      <c r="G76" s="846"/>
      <c r="H76" s="825"/>
      <c r="I76" s="508"/>
      <c r="J76" s="15"/>
      <c r="K76" s="336"/>
      <c r="L76" s="336"/>
      <c r="M76" s="336"/>
      <c r="N76" s="336"/>
      <c r="O76" s="336"/>
      <c r="P76" s="336"/>
      <c r="Q76" s="336"/>
      <c r="R76" s="336"/>
      <c r="S76" s="336"/>
      <c r="T76" s="336"/>
      <c r="U76" s="336"/>
      <c r="V76" s="336"/>
      <c r="W76" s="336"/>
      <c r="X76" s="336"/>
      <c r="Y76" s="336"/>
      <c r="Z76" s="336"/>
      <c r="AA76" s="336"/>
      <c r="AB76" s="336"/>
      <c r="AC76" s="336"/>
      <c r="AD76" s="336"/>
      <c r="AE76" s="336"/>
      <c r="AF76" s="336"/>
      <c r="AG76" s="506"/>
      <c r="AH76" s="506"/>
      <c r="AI76" s="506"/>
      <c r="AJ76" s="506"/>
      <c r="AK76" s="506"/>
      <c r="AL76" s="506"/>
      <c r="AM76" s="506"/>
      <c r="AN76" s="506"/>
      <c r="AO76" s="506"/>
      <c r="AP76" s="506"/>
      <c r="AQ76" s="506"/>
      <c r="AR76" s="506"/>
      <c r="AS76" s="506"/>
      <c r="AT76" s="506"/>
      <c r="AU76" s="506"/>
      <c r="AV76" s="506"/>
      <c r="AW76" s="506"/>
      <c r="AX76" s="506"/>
      <c r="AY76" s="506"/>
      <c r="AZ76" s="506"/>
      <c r="BA76" s="506"/>
      <c r="BB76" s="506"/>
      <c r="BC76" s="506"/>
      <c r="BD76" s="506"/>
      <c r="BE76" s="506"/>
      <c r="BF76" s="506"/>
    </row>
    <row r="77" spans="1:58" s="317" customFormat="1" ht="68.25" customHeight="1" x14ac:dyDescent="0.2">
      <c r="A77" s="863"/>
      <c r="B77" s="872"/>
      <c r="C77" s="888"/>
      <c r="D77" s="778"/>
      <c r="E77" s="831"/>
      <c r="F77" s="348" t="b">
        <f>IF(General!E29="Always","I ALWAYS retain semi-natural habitats located near crops, so beneficial insects can help with pest control.",IF(AND(General!E29="Often"),"I OFTEN retain semi-natural habitats located near crops, so beneficial insects can help with pest control",IF(AND(General!E29="Sometimes"),"I SOMETIMES retain semi-natural habitats near crops. Consider retaining semi-natural habitats near crops so benefical insects can help with pest control.",IF(AND(General!E29="Rarely"),"I RARELY retain semi-natural habitats near crops. Consider retaining semi-natural habitats near crops so benefical insects can help with pest control.",IF(AND(General!E29="Never"),"I NEVER retain semi-natural habitats near crops. Consider retaining semi-natural habitats near crops so benefical insects can help with pest control.")))))</f>
        <v>0</v>
      </c>
      <c r="G77" s="846"/>
      <c r="H77" s="825"/>
      <c r="I77" s="508"/>
      <c r="J77" s="15"/>
      <c r="K77" s="336"/>
      <c r="L77" s="336"/>
      <c r="M77" s="336"/>
      <c r="N77" s="336"/>
      <c r="O77" s="336"/>
      <c r="P77" s="336"/>
      <c r="Q77" s="336"/>
      <c r="R77" s="336"/>
      <c r="S77" s="336"/>
      <c r="T77" s="336"/>
      <c r="U77" s="336"/>
      <c r="V77" s="336"/>
      <c r="W77" s="336"/>
      <c r="X77" s="336"/>
      <c r="Y77" s="336"/>
      <c r="Z77" s="336"/>
      <c r="AA77" s="336"/>
      <c r="AB77" s="336"/>
      <c r="AC77" s="336"/>
      <c r="AD77" s="336"/>
      <c r="AE77" s="336"/>
      <c r="AF77" s="336"/>
      <c r="AG77" s="506"/>
      <c r="AH77" s="506"/>
      <c r="AI77" s="506"/>
      <c r="AJ77" s="506"/>
      <c r="AK77" s="506"/>
      <c r="AL77" s="506"/>
      <c r="AM77" s="506"/>
      <c r="AN77" s="506"/>
      <c r="AO77" s="506"/>
      <c r="AP77" s="506"/>
      <c r="AQ77" s="506"/>
      <c r="AR77" s="506"/>
      <c r="AS77" s="506"/>
      <c r="AT77" s="506"/>
      <c r="AU77" s="506"/>
      <c r="AV77" s="506"/>
      <c r="AW77" s="506"/>
      <c r="AX77" s="506"/>
      <c r="AY77" s="506"/>
      <c r="AZ77" s="506"/>
      <c r="BA77" s="506"/>
      <c r="BB77" s="506"/>
      <c r="BC77" s="506"/>
      <c r="BD77" s="506"/>
      <c r="BE77" s="506"/>
      <c r="BF77" s="506"/>
    </row>
    <row r="78" spans="1:58" s="317" customFormat="1" ht="37.5" customHeight="1" x14ac:dyDescent="0.2">
      <c r="A78" s="863"/>
      <c r="B78" s="872"/>
      <c r="C78" s="888"/>
      <c r="D78" s="778"/>
      <c r="E78" s="831"/>
      <c r="F78" s="348" t="str">
        <f>General!E30&amp;" - "&amp;General!D30</f>
        <v xml:space="preserve"> - </v>
      </c>
      <c r="G78" s="846"/>
      <c r="H78" s="825"/>
      <c r="I78" s="508"/>
      <c r="J78" s="505"/>
      <c r="K78" s="336"/>
      <c r="L78" s="336"/>
      <c r="M78" s="336"/>
      <c r="N78" s="336"/>
      <c r="O78" s="336"/>
      <c r="P78" s="336"/>
      <c r="Q78" s="336"/>
      <c r="R78" s="336"/>
      <c r="S78" s="336"/>
      <c r="T78" s="336"/>
      <c r="U78" s="336"/>
      <c r="V78" s="336"/>
      <c r="W78" s="336"/>
      <c r="X78" s="336"/>
      <c r="Y78" s="336"/>
      <c r="Z78" s="336"/>
      <c r="AA78" s="336"/>
      <c r="AB78" s="336"/>
      <c r="AC78" s="336"/>
      <c r="AD78" s="336"/>
      <c r="AE78" s="336"/>
      <c r="AF78" s="336"/>
      <c r="AG78" s="506"/>
      <c r="AH78" s="506"/>
      <c r="AI78" s="506"/>
      <c r="AJ78" s="506"/>
      <c r="AK78" s="506"/>
      <c r="AL78" s="506"/>
      <c r="AM78" s="506"/>
      <c r="AN78" s="506"/>
      <c r="AO78" s="506"/>
      <c r="AP78" s="506"/>
      <c r="AQ78" s="506"/>
      <c r="AR78" s="506"/>
      <c r="AS78" s="506"/>
      <c r="AT78" s="506"/>
      <c r="AU78" s="506"/>
      <c r="AV78" s="506"/>
      <c r="AW78" s="506"/>
      <c r="AX78" s="506"/>
      <c r="AY78" s="506"/>
      <c r="AZ78" s="506"/>
      <c r="BA78" s="506"/>
      <c r="BB78" s="506"/>
      <c r="BC78" s="506"/>
      <c r="BD78" s="506"/>
      <c r="BE78" s="506"/>
      <c r="BF78" s="506"/>
    </row>
    <row r="79" spans="1:58" s="317" customFormat="1" ht="37.5" customHeight="1" thickBot="1" x14ac:dyDescent="0.25">
      <c r="A79" s="863"/>
      <c r="B79" s="872"/>
      <c r="C79" s="888"/>
      <c r="D79" s="778"/>
      <c r="E79" s="831"/>
      <c r="F79" s="357" t="str">
        <f>General!E31&amp;" - "&amp;General!D31</f>
        <v xml:space="preserve"> - </v>
      </c>
      <c r="G79" s="846"/>
      <c r="H79" s="825"/>
      <c r="I79" s="508"/>
      <c r="J79" s="10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506"/>
      <c r="AH79" s="506"/>
      <c r="AI79" s="506"/>
      <c r="AJ79" s="506"/>
      <c r="AK79" s="506"/>
      <c r="AL79" s="506"/>
      <c r="AM79" s="506"/>
      <c r="AN79" s="506"/>
      <c r="AO79" s="506"/>
      <c r="AP79" s="506"/>
      <c r="AQ79" s="506"/>
      <c r="AR79" s="506"/>
      <c r="AS79" s="506"/>
      <c r="AT79" s="506"/>
      <c r="AU79" s="506"/>
      <c r="AV79" s="506"/>
      <c r="AW79" s="506"/>
      <c r="AX79" s="506"/>
      <c r="AY79" s="506"/>
      <c r="AZ79" s="506"/>
      <c r="BA79" s="506"/>
      <c r="BB79" s="506"/>
      <c r="BC79" s="506"/>
      <c r="BD79" s="506"/>
      <c r="BE79" s="506"/>
      <c r="BF79" s="506"/>
    </row>
    <row r="80" spans="1:58" s="317" customFormat="1" ht="33" customHeight="1" thickBot="1" x14ac:dyDescent="0.25">
      <c r="A80" s="863"/>
      <c r="B80" s="353" t="s">
        <v>290</v>
      </c>
      <c r="C80" s="612" t="str">
        <f>IF(General!D32=" "," ",("The landscape surrounding my farm is "&amp;General!D32&amp;""))</f>
        <v xml:space="preserve">The landscape surrounding my farm is </v>
      </c>
      <c r="D80" s="612"/>
      <c r="E80" s="612"/>
      <c r="F80" s="612"/>
      <c r="G80" s="358"/>
      <c r="H80" s="493"/>
      <c r="I80" s="508"/>
      <c r="J80" s="10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506"/>
      <c r="AH80" s="506"/>
      <c r="AI80" s="506"/>
      <c r="AJ80" s="506"/>
      <c r="AK80" s="506"/>
      <c r="AL80" s="506"/>
      <c r="AM80" s="506"/>
      <c r="AN80" s="506"/>
      <c r="AO80" s="506"/>
      <c r="AP80" s="506"/>
      <c r="AQ80" s="506"/>
      <c r="AR80" s="506"/>
      <c r="AS80" s="506"/>
      <c r="AT80" s="506"/>
      <c r="AU80" s="506"/>
      <c r="AV80" s="506"/>
      <c r="AW80" s="506"/>
      <c r="AX80" s="506"/>
      <c r="AY80" s="506"/>
      <c r="AZ80" s="506"/>
      <c r="BA80" s="506"/>
      <c r="BB80" s="506"/>
      <c r="BC80" s="506"/>
      <c r="BD80" s="506"/>
      <c r="BE80" s="506"/>
      <c r="BF80" s="506"/>
    </row>
    <row r="81" spans="1:58" s="317" customFormat="1" ht="86.25" customHeight="1" thickBot="1" x14ac:dyDescent="0.25">
      <c r="A81" s="864"/>
      <c r="B81" s="359" t="s">
        <v>291</v>
      </c>
      <c r="C81" s="354">
        <f>General!F33</f>
        <v>0</v>
      </c>
      <c r="D81" s="360">
        <f>General!G33</f>
        <v>40</v>
      </c>
      <c r="E81" s="361">
        <f>(C81/D81)</f>
        <v>0</v>
      </c>
      <c r="F81" s="362" t="b">
        <f>IF(General!D33="Habitats within my farm are linked with a wide hedge &amp; margin or sheugh &amp; margin or woodland corridor","Consider linking the habitats within your farm with those outside of your farm in the surrounding area.",IF(AND(General!D33="Habitats in my farm are linked with a habitat outside of my farm with a wide hedge &amp; margin/sheugh &amp; margin or woodland corridor"),"Continue to maintain the links with those habitats outside your farm and consider how the habitats within your own farm are linked. Consider linking habitats by a wide hedge &amp; margin or sheugh &amp; margin or woodland corridor.",IF(AND(General!D33="Both True"),"Continue to maintain the links with the habitats both within your own farm and in the surrounding landscape and develop them further.")))</f>
        <v>0</v>
      </c>
      <c r="G81" s="363"/>
      <c r="H81" s="494"/>
      <c r="I81" s="508"/>
      <c r="J81" s="505"/>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506"/>
      <c r="AH81" s="506"/>
      <c r="AI81" s="506"/>
      <c r="AJ81" s="506"/>
      <c r="AK81" s="506"/>
      <c r="AL81" s="506"/>
      <c r="AM81" s="506"/>
      <c r="AN81" s="506"/>
      <c r="AO81" s="506"/>
      <c r="AP81" s="506"/>
      <c r="AQ81" s="506"/>
      <c r="AR81" s="506"/>
      <c r="AS81" s="506"/>
      <c r="AT81" s="506"/>
      <c r="AU81" s="506"/>
      <c r="AV81" s="506"/>
      <c r="AW81" s="506"/>
      <c r="AX81" s="506"/>
      <c r="AY81" s="506"/>
      <c r="AZ81" s="506"/>
      <c r="BA81" s="506"/>
      <c r="BB81" s="506"/>
      <c r="BC81" s="506"/>
      <c r="BD81" s="506"/>
      <c r="BE81" s="506"/>
      <c r="BF81" s="506"/>
    </row>
    <row r="82" spans="1:58" s="317" customFormat="1" ht="38.25" customHeight="1" thickBot="1" x14ac:dyDescent="0.25">
      <c r="A82" s="858" t="s">
        <v>65</v>
      </c>
      <c r="B82" s="907" t="s">
        <v>206</v>
      </c>
      <c r="C82" s="908"/>
      <c r="D82" s="908"/>
      <c r="E82" s="908"/>
      <c r="F82" s="908"/>
      <c r="G82" s="909"/>
      <c r="H82" s="364" t="s">
        <v>144</v>
      </c>
      <c r="I82" s="508"/>
      <c r="J82" s="201"/>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506"/>
      <c r="AH82" s="506"/>
      <c r="AI82" s="506"/>
      <c r="AJ82" s="506"/>
      <c r="AK82" s="506"/>
      <c r="AL82" s="506"/>
      <c r="AM82" s="506"/>
      <c r="AN82" s="506"/>
      <c r="AO82" s="506"/>
      <c r="AP82" s="506"/>
      <c r="AQ82" s="506"/>
      <c r="AR82" s="506"/>
      <c r="AS82" s="506"/>
      <c r="AT82" s="506"/>
      <c r="AU82" s="506"/>
      <c r="AV82" s="506"/>
      <c r="AW82" s="506"/>
      <c r="AX82" s="506"/>
      <c r="AY82" s="506"/>
      <c r="AZ82" s="506"/>
      <c r="BA82" s="506"/>
      <c r="BB82" s="506"/>
      <c r="BC82" s="506"/>
      <c r="BD82" s="506"/>
      <c r="BE82" s="506"/>
      <c r="BF82" s="506"/>
    </row>
    <row r="83" spans="1:58" s="317" customFormat="1" ht="66" customHeight="1" x14ac:dyDescent="0.2">
      <c r="A83" s="859"/>
      <c r="B83" s="903" t="s">
        <v>212</v>
      </c>
      <c r="C83" s="882">
        <f>MIN(180,(SUM(Linear!$F$3:$F$10)))</f>
        <v>0</v>
      </c>
      <c r="D83" s="916">
        <v>180</v>
      </c>
      <c r="E83" s="830">
        <f>(C83/D83)</f>
        <v>0</v>
      </c>
      <c r="F83" s="365" t="b">
        <f>IF(Linear!E3="No","Consider leaving verges along roads/tracks unmown, to allow wild plants to flower and provide undisturbed wildlife habitats.",IF(AND(Linear!E3="Yes"),"Verges along roads and/or tracks are currently left unmown"))</f>
        <v>0</v>
      </c>
      <c r="G83" s="904" t="str">
        <f>IF(C83=120,"Maximum score Achieved","Consider introducing other methods or areas of grass or flowering plants that are not for production. 
Please see those highlighted in red to the left.")</f>
        <v>Consider introducing other methods or areas of grass or flowering plants that are not for production. 
Please see those highlighted in red to the left.</v>
      </c>
      <c r="H83" s="495"/>
      <c r="I83" s="434"/>
      <c r="J83" s="201"/>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506"/>
      <c r="AH83" s="506"/>
      <c r="AI83" s="506"/>
      <c r="AJ83" s="506"/>
      <c r="AK83" s="506"/>
      <c r="AL83" s="506"/>
      <c r="AM83" s="506"/>
      <c r="AN83" s="506"/>
      <c r="AO83" s="506"/>
      <c r="AP83" s="506"/>
      <c r="AQ83" s="506"/>
      <c r="AR83" s="506"/>
      <c r="AS83" s="506"/>
      <c r="AT83" s="506"/>
      <c r="AU83" s="506"/>
      <c r="AV83" s="506"/>
      <c r="AW83" s="506"/>
      <c r="AX83" s="506"/>
      <c r="AY83" s="506"/>
      <c r="AZ83" s="506"/>
      <c r="BA83" s="506"/>
      <c r="BB83" s="506"/>
      <c r="BC83" s="506"/>
      <c r="BD83" s="506"/>
      <c r="BE83" s="506"/>
      <c r="BF83" s="506"/>
    </row>
    <row r="84" spans="1:58" s="317" customFormat="1" ht="66" customHeight="1" x14ac:dyDescent="0.2">
      <c r="A84" s="859"/>
      <c r="B84" s="880"/>
      <c r="C84" s="877"/>
      <c r="D84" s="874"/>
      <c r="E84" s="831"/>
      <c r="F84" s="366" t="b">
        <f>IF(Linear!E4="No","Consider leaving field corners ungrazed and unmown, to allow wild plants to flower and provide undisturbed wildlife habitats.",IF(AND(Linear!E4="Yes"),"Field corners are currently left ungrazed and unmown to allow wild plants to flower and provide undisturbed wildlife habitats."))</f>
        <v>0</v>
      </c>
      <c r="G84" s="847"/>
      <c r="H84" s="496"/>
      <c r="I84" s="517"/>
      <c r="J84" s="505"/>
      <c r="K84" s="336"/>
      <c r="L84" s="336"/>
      <c r="M84" s="336"/>
      <c r="N84" s="336"/>
      <c r="O84" s="336"/>
      <c r="P84" s="336"/>
      <c r="Q84" s="336"/>
      <c r="R84" s="336"/>
      <c r="S84" s="336"/>
      <c r="T84" s="336"/>
      <c r="U84" s="336"/>
      <c r="V84" s="336"/>
      <c r="W84" s="336"/>
      <c r="X84" s="336"/>
      <c r="Y84" s="336"/>
      <c r="Z84" s="336"/>
      <c r="AA84" s="336"/>
      <c r="AB84" s="336"/>
      <c r="AC84" s="336"/>
      <c r="AD84" s="336"/>
      <c r="AE84" s="336"/>
      <c r="AF84" s="336"/>
      <c r="AG84" s="506"/>
      <c r="AH84" s="506"/>
      <c r="AI84" s="506"/>
      <c r="AJ84" s="506"/>
      <c r="AK84" s="506"/>
      <c r="AL84" s="506"/>
      <c r="AM84" s="506"/>
      <c r="AN84" s="506"/>
      <c r="AO84" s="506"/>
      <c r="AP84" s="506"/>
      <c r="AQ84" s="506"/>
      <c r="AR84" s="506"/>
      <c r="AS84" s="506"/>
      <c r="AT84" s="506"/>
      <c r="AU84" s="506"/>
      <c r="AV84" s="506"/>
      <c r="AW84" s="506"/>
      <c r="AX84" s="506"/>
      <c r="AY84" s="506"/>
      <c r="AZ84" s="506"/>
      <c r="BA84" s="506"/>
      <c r="BB84" s="506"/>
      <c r="BC84" s="506"/>
      <c r="BD84" s="506"/>
      <c r="BE84" s="506"/>
      <c r="BF84" s="506"/>
    </row>
    <row r="85" spans="1:58" s="317" customFormat="1" ht="66" customHeight="1" x14ac:dyDescent="0.2">
      <c r="A85" s="859"/>
      <c r="B85" s="880"/>
      <c r="C85" s="877"/>
      <c r="D85" s="874"/>
      <c r="E85" s="831"/>
      <c r="F85" s="366" t="b">
        <f>IF(Linear!E5="No","Consider leaving uncultivated / unsprayed / unfertilised field margins which are at least 1.5m wide where naturally occurring grasses and flowering plants can grow.",IF(AND(Linear!E5="Yes"),"Margins which are at least 1.5m wide are currently left uncultivated / unsprayed / unfertilised to allow naturally occuring grasses and flowering plants to grow."))</f>
        <v>0</v>
      </c>
      <c r="G85" s="847"/>
      <c r="H85" s="496"/>
      <c r="I85" s="517"/>
      <c r="J85" s="505"/>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506"/>
      <c r="AH85" s="506"/>
      <c r="AI85" s="506"/>
      <c r="AJ85" s="506"/>
      <c r="AK85" s="506"/>
      <c r="AL85" s="506"/>
      <c r="AM85" s="506"/>
      <c r="AN85" s="506"/>
      <c r="AO85" s="506"/>
      <c r="AP85" s="506"/>
      <c r="AQ85" s="506"/>
      <c r="AR85" s="506"/>
      <c r="AS85" s="506"/>
      <c r="AT85" s="506"/>
      <c r="AU85" s="506"/>
      <c r="AV85" s="506"/>
      <c r="AW85" s="506"/>
      <c r="AX85" s="506"/>
      <c r="AY85" s="506"/>
      <c r="AZ85" s="506"/>
      <c r="BA85" s="506"/>
      <c r="BB85" s="506"/>
      <c r="BC85" s="506"/>
      <c r="BD85" s="506"/>
      <c r="BE85" s="506"/>
      <c r="BF85" s="506"/>
    </row>
    <row r="86" spans="1:58" s="317" customFormat="1" ht="77.25" customHeight="1" x14ac:dyDescent="0.2">
      <c r="A86" s="859"/>
      <c r="B86" s="880"/>
      <c r="C86" s="877"/>
      <c r="D86" s="874"/>
      <c r="E86" s="831"/>
      <c r="F86" s="366" t="str">
        <f>IF(Linear!E6=0,"Consider establishing margins or areas sown with annual wildflowers. This will provide a food source for a range of nectar-feeding insects, including butterflies and bumblebees.", (Linear!E6&amp;" ha "&amp; "of wildflowers are currently sown on farm"))</f>
        <v>Consider establishing margins or areas sown with annual wildflowers. This will provide a food source for a range of nectar-feeding insects, including butterflies and bumblebees.</v>
      </c>
      <c r="G86" s="847"/>
      <c r="H86" s="496"/>
      <c r="I86" s="517"/>
      <c r="J86" s="15"/>
      <c r="K86" s="336"/>
      <c r="L86" s="336"/>
      <c r="M86" s="336"/>
      <c r="N86" s="336"/>
      <c r="O86" s="336"/>
      <c r="P86" s="336"/>
      <c r="Q86" s="336"/>
      <c r="R86" s="336"/>
      <c r="S86" s="336"/>
      <c r="T86" s="336"/>
      <c r="U86" s="336"/>
      <c r="V86" s="336"/>
      <c r="W86" s="336"/>
      <c r="X86" s="336"/>
      <c r="Y86" s="336"/>
      <c r="Z86" s="336"/>
      <c r="AA86" s="336"/>
      <c r="AB86" s="336"/>
      <c r="AC86" s="336"/>
      <c r="AD86" s="336"/>
      <c r="AE86" s="336"/>
      <c r="AF86" s="336"/>
      <c r="AG86" s="506"/>
      <c r="AH86" s="506"/>
      <c r="AI86" s="506"/>
      <c r="AJ86" s="506"/>
      <c r="AK86" s="506"/>
      <c r="AL86" s="506"/>
      <c r="AM86" s="506"/>
      <c r="AN86" s="506"/>
      <c r="AO86" s="506"/>
      <c r="AP86" s="506"/>
      <c r="AQ86" s="506"/>
      <c r="AR86" s="506"/>
      <c r="AS86" s="506"/>
      <c r="AT86" s="506"/>
      <c r="AU86" s="506"/>
      <c r="AV86" s="506"/>
      <c r="AW86" s="506"/>
      <c r="AX86" s="506"/>
      <c r="AY86" s="506"/>
      <c r="AZ86" s="506"/>
      <c r="BA86" s="506"/>
      <c r="BB86" s="506"/>
      <c r="BC86" s="506"/>
      <c r="BD86" s="506"/>
      <c r="BE86" s="506"/>
      <c r="BF86" s="506"/>
    </row>
    <row r="87" spans="1:58" s="317" customFormat="1" ht="99" customHeight="1" x14ac:dyDescent="0.2">
      <c r="A87" s="859"/>
      <c r="B87" s="880"/>
      <c r="C87" s="877"/>
      <c r="D87" s="874"/>
      <c r="E87" s="831"/>
      <c r="F87" s="366" t="str">
        <f>IF(Linear!E7=0,"Consider establishing margins or areas sown with a pollen and nectar mix. This will increase the availability of food for bumblebees and butterflies and will encourage benefical insects, insects which feed on plants, small mammals and farmland birds.",(Linear!E7&amp;" ha "&amp;"of pollen and nectar are currently sown on farm"))</f>
        <v>Consider establishing margins or areas sown with a pollen and nectar mix. This will increase the availability of food for bumblebees and butterflies and will encourage benefical insects, insects which feed on plants, small mammals and farmland birds.</v>
      </c>
      <c r="G87" s="847"/>
      <c r="H87" s="496"/>
      <c r="I87" s="517"/>
      <c r="J87" s="15"/>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506"/>
      <c r="AH87" s="506"/>
      <c r="AI87" s="506"/>
      <c r="AJ87" s="506"/>
      <c r="AK87" s="506"/>
      <c r="AL87" s="506"/>
      <c r="AM87" s="506"/>
      <c r="AN87" s="506"/>
      <c r="AO87" s="506"/>
      <c r="AP87" s="506"/>
      <c r="AQ87" s="506"/>
      <c r="AR87" s="506"/>
      <c r="AS87" s="506"/>
      <c r="AT87" s="506"/>
      <c r="AU87" s="506"/>
      <c r="AV87" s="506"/>
      <c r="AW87" s="506"/>
      <c r="AX87" s="506"/>
      <c r="AY87" s="506"/>
      <c r="AZ87" s="506"/>
      <c r="BA87" s="506"/>
      <c r="BB87" s="506"/>
      <c r="BC87" s="506"/>
      <c r="BD87" s="506"/>
      <c r="BE87" s="506"/>
      <c r="BF87" s="506"/>
    </row>
    <row r="88" spans="1:58" s="317" customFormat="1" ht="95.25" customHeight="1" x14ac:dyDescent="0.2">
      <c r="A88" s="859"/>
      <c r="B88" s="880"/>
      <c r="C88" s="877"/>
      <c r="D88" s="874"/>
      <c r="E88" s="831"/>
      <c r="F88" s="366" t="str">
        <f>IF(Linear!E8=0,"Consider establishing margins or areas sown with rough grasses. Rough grass margins provide habitats for overwintering invertebrates, some of which prey on pests of cereal crops. The margins also provide nesting and foraging sites for birds and mammals.",(Linear!E8&amp;" ha "&amp; "of rough grasses are currently sown on farm"))</f>
        <v>Consider establishing margins or areas sown with rough grasses. Rough grass margins provide habitats for overwintering invertebrates, some of which prey on pests of cereal crops. The margins also provide nesting and foraging sites for birds and mammals.</v>
      </c>
      <c r="G88" s="847"/>
      <c r="H88" s="496"/>
      <c r="I88" s="517"/>
      <c r="J88" s="15"/>
      <c r="K88" s="336"/>
      <c r="L88" s="336"/>
      <c r="M88" s="336"/>
      <c r="N88" s="336"/>
      <c r="O88" s="336"/>
      <c r="P88" s="336"/>
      <c r="Q88" s="336"/>
      <c r="R88" s="336"/>
      <c r="S88" s="336"/>
      <c r="T88" s="336"/>
      <c r="U88" s="336"/>
      <c r="V88" s="336"/>
      <c r="W88" s="336"/>
      <c r="X88" s="336"/>
      <c r="Y88" s="336"/>
      <c r="Z88" s="336"/>
      <c r="AA88" s="336"/>
      <c r="AB88" s="336"/>
      <c r="AC88" s="336"/>
      <c r="AD88" s="336"/>
      <c r="AE88" s="336"/>
      <c r="AF88" s="336"/>
      <c r="AG88" s="506"/>
      <c r="AH88" s="506"/>
      <c r="AI88" s="506"/>
      <c r="AJ88" s="506"/>
      <c r="AK88" s="506"/>
      <c r="AL88" s="506"/>
      <c r="AM88" s="506"/>
      <c r="AN88" s="506"/>
      <c r="AO88" s="506"/>
      <c r="AP88" s="506"/>
      <c r="AQ88" s="506"/>
      <c r="AR88" s="506"/>
      <c r="AS88" s="506"/>
      <c r="AT88" s="506"/>
      <c r="AU88" s="506"/>
      <c r="AV88" s="506"/>
      <c r="AW88" s="506"/>
      <c r="AX88" s="506"/>
      <c r="AY88" s="506"/>
      <c r="AZ88" s="506"/>
      <c r="BA88" s="506"/>
      <c r="BB88" s="506"/>
      <c r="BC88" s="506"/>
      <c r="BD88" s="506"/>
      <c r="BE88" s="506"/>
      <c r="BF88" s="506"/>
    </row>
    <row r="89" spans="1:58" s="317" customFormat="1" ht="83.25" customHeight="1" x14ac:dyDescent="0.2">
      <c r="A89" s="859"/>
      <c r="B89" s="880"/>
      <c r="C89" s="878"/>
      <c r="D89" s="875"/>
      <c r="E89" s="902"/>
      <c r="F89" s="366" t="str">
        <f>IF(Linear!E9=0,"Consider establishing margins or areas sown with winter feed crop for wild birds to provide foraging habitats and food, primarily during the winter period for farmland birds.",(Linear!E9&amp;" ha "&amp; "of winter feed crop for wild birds are currently sown on farm"))</f>
        <v>Consider establishing margins or areas sown with winter feed crop for wild birds to provide foraging habitats and food, primarily during the winter period for farmland birds.</v>
      </c>
      <c r="G89" s="905"/>
      <c r="H89" s="496"/>
      <c r="I89" s="517"/>
      <c r="J89" s="15"/>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506"/>
      <c r="AH89" s="506"/>
      <c r="AI89" s="506"/>
      <c r="AJ89" s="506"/>
      <c r="AK89" s="506"/>
      <c r="AL89" s="506"/>
      <c r="AM89" s="506"/>
      <c r="AN89" s="506"/>
      <c r="AO89" s="506"/>
      <c r="AP89" s="506"/>
      <c r="AQ89" s="506"/>
      <c r="AR89" s="506"/>
      <c r="AS89" s="506"/>
      <c r="AT89" s="506"/>
      <c r="AU89" s="506"/>
      <c r="AV89" s="506"/>
      <c r="AW89" s="506"/>
      <c r="AX89" s="506"/>
      <c r="AY89" s="506"/>
      <c r="AZ89" s="506"/>
      <c r="BA89" s="506"/>
      <c r="BB89" s="506"/>
      <c r="BC89" s="506"/>
      <c r="BD89" s="506"/>
      <c r="BE89" s="506"/>
      <c r="BF89" s="506"/>
    </row>
    <row r="90" spans="1:58" s="317" customFormat="1" ht="27" customHeight="1" thickBot="1" x14ac:dyDescent="0.25">
      <c r="A90" s="859"/>
      <c r="B90" s="367" t="s">
        <v>286</v>
      </c>
      <c r="C90" s="368">
        <f>'% Habitat Score'!J63</f>
        <v>0</v>
      </c>
      <c r="D90" s="369"/>
      <c r="E90" s="369"/>
      <c r="F90" s="370"/>
      <c r="G90" s="371"/>
      <c r="H90" s="496"/>
      <c r="I90" s="517"/>
      <c r="J90" s="15"/>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506"/>
      <c r="AH90" s="506"/>
      <c r="AI90" s="506"/>
      <c r="AJ90" s="506"/>
      <c r="AK90" s="506"/>
      <c r="AL90" s="506"/>
      <c r="AM90" s="506"/>
      <c r="AN90" s="506"/>
      <c r="AO90" s="506"/>
      <c r="AP90" s="506"/>
      <c r="AQ90" s="506"/>
      <c r="AR90" s="506"/>
      <c r="AS90" s="506"/>
      <c r="AT90" s="506"/>
      <c r="AU90" s="506"/>
      <c r="AV90" s="506"/>
      <c r="AW90" s="506"/>
      <c r="AX90" s="506"/>
      <c r="AY90" s="506"/>
      <c r="AZ90" s="506"/>
      <c r="BA90" s="506"/>
      <c r="BB90" s="506"/>
      <c r="BC90" s="506"/>
      <c r="BD90" s="506"/>
      <c r="BE90" s="506"/>
      <c r="BF90" s="506"/>
    </row>
    <row r="91" spans="1:58" s="317" customFormat="1" ht="24.75" customHeight="1" thickBot="1" x14ac:dyDescent="0.25">
      <c r="A91" s="859"/>
      <c r="B91" s="907" t="s">
        <v>99</v>
      </c>
      <c r="C91" s="908"/>
      <c r="D91" s="908"/>
      <c r="E91" s="908"/>
      <c r="F91" s="908"/>
      <c r="G91" s="909"/>
      <c r="H91" s="497"/>
      <c r="I91" s="508"/>
      <c r="J91" s="15"/>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506"/>
      <c r="AH91" s="506"/>
      <c r="AI91" s="506"/>
      <c r="AJ91" s="506"/>
      <c r="AK91" s="506"/>
      <c r="AL91" s="506"/>
      <c r="AM91" s="506"/>
      <c r="AN91" s="506"/>
      <c r="AO91" s="506"/>
      <c r="AP91" s="506"/>
      <c r="AQ91" s="506"/>
      <c r="AR91" s="506"/>
      <c r="AS91" s="506"/>
      <c r="AT91" s="506"/>
      <c r="AU91" s="506"/>
      <c r="AV91" s="506"/>
      <c r="AW91" s="506"/>
      <c r="AX91" s="506"/>
      <c r="AY91" s="506"/>
      <c r="AZ91" s="506"/>
      <c r="BA91" s="506"/>
      <c r="BB91" s="506"/>
      <c r="BC91" s="506"/>
      <c r="BD91" s="506"/>
      <c r="BE91" s="506"/>
      <c r="BF91" s="506"/>
    </row>
    <row r="92" spans="1:58" s="317" customFormat="1" ht="24" customHeight="1" x14ac:dyDescent="0.2">
      <c r="A92" s="859"/>
      <c r="B92" s="372" t="s">
        <v>101</v>
      </c>
      <c r="C92" s="373">
        <f>Linear!E16</f>
        <v>0</v>
      </c>
      <c r="D92" s="374"/>
      <c r="E92" s="374"/>
      <c r="F92" s="374"/>
      <c r="G92" s="375"/>
      <c r="H92" s="497"/>
      <c r="I92" s="508"/>
      <c r="J92" s="15"/>
      <c r="K92" s="336"/>
      <c r="L92" s="336"/>
      <c r="M92" s="336"/>
      <c r="N92" s="336"/>
      <c r="O92" s="336"/>
      <c r="P92" s="336"/>
      <c r="Q92" s="336"/>
      <c r="R92" s="336"/>
      <c r="S92" s="336"/>
      <c r="T92" s="336"/>
      <c r="U92" s="336"/>
      <c r="V92" s="336"/>
      <c r="W92" s="336"/>
      <c r="X92" s="336"/>
      <c r="Y92" s="336"/>
      <c r="Z92" s="336"/>
      <c r="AA92" s="336"/>
      <c r="AB92" s="336"/>
      <c r="AC92" s="336"/>
      <c r="AD92" s="336"/>
      <c r="AE92" s="336"/>
      <c r="AF92" s="336"/>
      <c r="AG92" s="506"/>
      <c r="AH92" s="506"/>
      <c r="AI92" s="506"/>
      <c r="AJ92" s="506"/>
      <c r="AK92" s="506"/>
      <c r="AL92" s="506"/>
      <c r="AM92" s="506"/>
      <c r="AN92" s="506"/>
      <c r="AO92" s="506"/>
      <c r="AP92" s="506"/>
      <c r="AQ92" s="506"/>
      <c r="AR92" s="506"/>
      <c r="AS92" s="506"/>
      <c r="AT92" s="506"/>
      <c r="AU92" s="506"/>
      <c r="AV92" s="506"/>
      <c r="AW92" s="506"/>
      <c r="AX92" s="506"/>
      <c r="AY92" s="506"/>
      <c r="AZ92" s="506"/>
      <c r="BA92" s="506"/>
      <c r="BB92" s="506"/>
      <c r="BC92" s="506"/>
      <c r="BD92" s="506"/>
      <c r="BE92" s="506"/>
      <c r="BF92" s="506"/>
    </row>
    <row r="93" spans="1:58" s="317" customFormat="1" ht="86.25" customHeight="1" x14ac:dyDescent="0.2">
      <c r="A93" s="859"/>
      <c r="B93" s="910" t="s">
        <v>211</v>
      </c>
      <c r="C93" s="878">
        <f>MIN(180,(SUM(Linear!$F$17:$F$23)))</f>
        <v>0</v>
      </c>
      <c r="D93" s="875">
        <v>180</v>
      </c>
      <c r="E93" s="902">
        <f>(C93/D93)</f>
        <v>0</v>
      </c>
      <c r="F93" s="366" t="b">
        <f>IF(Linear!E17="Always","The riparian buffer is ALWAYS fenced to prevent livestock access OR no grazing occurs on farm.",IF(AND(Linear!E17="Often"),"The riparian buffer is OFTEN fenced to prevent livestock access OR no grazing occurs on farm.",IF(AND(Linear!E17="Sometimes"),"The riparian buffer is SOMETIMES fenced to prevent livestock access OR no grazing occurs on farm. Consider preventing livestock from entering the riparian buffer area by maintaining or erecting fences.",IF(AND(Linear!E17="Rarely"),"The riparian buffer is RARELY fenced and livestock can access the buffer. Consider preventing livestock entering the riparian buffer area by maintaining or erecting fences.",IF(AND(Linear!E17="Never"),"The riparian buffer is NEVER fenced and livestock can access the buffer. Consider preventing livestock entering the riparian buffer area by maintaining or erecting fences.")))))</f>
        <v>0</v>
      </c>
      <c r="G93" s="847" t="str">
        <f>IF(C93=200,"Maximum score Achieved","Consider introducing other biodiversity friendly practices linked to riparian buffers.
Please see those highlighted in red to the left.")</f>
        <v>Consider introducing other biodiversity friendly practices linked to riparian buffers.
Please see those highlighted in red to the left.</v>
      </c>
      <c r="H93" s="497"/>
      <c r="I93" s="508"/>
      <c r="J93" s="15"/>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506"/>
      <c r="AH93" s="506"/>
      <c r="AI93" s="506"/>
      <c r="AJ93" s="506"/>
      <c r="AK93" s="506"/>
      <c r="AL93" s="506"/>
      <c r="AM93" s="506"/>
      <c r="AN93" s="506"/>
      <c r="AO93" s="506"/>
      <c r="AP93" s="506"/>
      <c r="AQ93" s="506"/>
      <c r="AR93" s="506"/>
      <c r="AS93" s="506"/>
      <c r="AT93" s="506"/>
      <c r="AU93" s="506"/>
      <c r="AV93" s="506"/>
      <c r="AW93" s="506"/>
      <c r="AX93" s="506"/>
      <c r="AY93" s="506"/>
      <c r="AZ93" s="506"/>
      <c r="BA93" s="506"/>
      <c r="BB93" s="506"/>
      <c r="BC93" s="506"/>
      <c r="BD93" s="506"/>
      <c r="BE93" s="506"/>
      <c r="BF93" s="506"/>
    </row>
    <row r="94" spans="1:58" s="317" customFormat="1" ht="55.5" customHeight="1" x14ac:dyDescent="0.2">
      <c r="A94" s="859"/>
      <c r="B94" s="910"/>
      <c r="C94" s="912"/>
      <c r="D94" s="926"/>
      <c r="E94" s="917"/>
      <c r="F94" s="376" t="b">
        <f>IF(Linear!E18="Always","Non-native invasive species and noxious weeds are ALWAYS controlled.",IF(AND(Linear!E18="Often"),"Non-native invasive species and noxious weeds are OFTEN controlled.",IF(AND(Linear!E18="Sometimes"),"Non-native invasive species and noxious weeds are SOMETIMES controlled. Always control non-native invasive species and noxious weeds.",IF(AND(Linear!E18="Rarely"),"Non-native invasive species and noxious weeds are RARELY controlled. Always control non-native invasive species and noxious weeds.",IF(AND(Linear!E18="Never"),"Non-native invasive species and noxious weeds are NEVER controlled. Control non-native invasive species and noxious weeds.")))))</f>
        <v>0</v>
      </c>
      <c r="G94" s="847"/>
      <c r="H94" s="497"/>
      <c r="I94" s="508"/>
      <c r="J94" s="15"/>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506"/>
      <c r="AH94" s="506"/>
      <c r="AI94" s="506"/>
      <c r="AJ94" s="506"/>
      <c r="AK94" s="506"/>
      <c r="AL94" s="506"/>
      <c r="AM94" s="506"/>
      <c r="AN94" s="506"/>
      <c r="AO94" s="506"/>
      <c r="AP94" s="506"/>
      <c r="AQ94" s="506"/>
      <c r="AR94" s="506"/>
      <c r="AS94" s="506"/>
      <c r="AT94" s="506"/>
      <c r="AU94" s="506"/>
      <c r="AV94" s="506"/>
      <c r="AW94" s="506"/>
      <c r="AX94" s="506"/>
      <c r="AY94" s="506"/>
      <c r="AZ94" s="506"/>
      <c r="BA94" s="506"/>
      <c r="BB94" s="506"/>
      <c r="BC94" s="506"/>
      <c r="BD94" s="506"/>
      <c r="BE94" s="506"/>
      <c r="BF94" s="506"/>
    </row>
    <row r="95" spans="1:58" s="317" customFormat="1" ht="55.5" customHeight="1" x14ac:dyDescent="0.2">
      <c r="A95" s="859"/>
      <c r="B95" s="910"/>
      <c r="C95" s="912"/>
      <c r="D95" s="926"/>
      <c r="E95" s="917"/>
      <c r="F95" s="376" t="b">
        <f>IF(Linear!E19="Yes","The buffer is kept clear of all materials (eg. there is no dumping of cut material or farm waste)",IF(AND(Linear!E19="No"),"Consider keeping the buffer clear of all other materials (eg. farm waste)."))</f>
        <v>0</v>
      </c>
      <c r="G95" s="847"/>
      <c r="H95" s="497"/>
      <c r="I95" s="508"/>
      <c r="J95" s="15"/>
      <c r="K95" s="336"/>
      <c r="L95" s="336"/>
      <c r="M95" s="336"/>
      <c r="N95" s="336"/>
      <c r="O95" s="336"/>
      <c r="P95" s="336"/>
      <c r="Q95" s="336"/>
      <c r="R95" s="336"/>
      <c r="S95" s="336"/>
      <c r="T95" s="336"/>
      <c r="U95" s="336"/>
      <c r="V95" s="336"/>
      <c r="W95" s="336"/>
      <c r="X95" s="336"/>
      <c r="Y95" s="336"/>
      <c r="Z95" s="336"/>
      <c r="AA95" s="336"/>
      <c r="AB95" s="336"/>
      <c r="AC95" s="336"/>
      <c r="AD95" s="336"/>
      <c r="AE95" s="336"/>
      <c r="AF95" s="336"/>
      <c r="AG95" s="506"/>
      <c r="AH95" s="506"/>
      <c r="AI95" s="506"/>
      <c r="AJ95" s="506"/>
      <c r="AK95" s="506"/>
      <c r="AL95" s="506"/>
      <c r="AM95" s="506"/>
      <c r="AN95" s="506"/>
      <c r="AO95" s="506"/>
      <c r="AP95" s="506"/>
      <c r="AQ95" s="506"/>
      <c r="AR95" s="506"/>
      <c r="AS95" s="506"/>
      <c r="AT95" s="506"/>
      <c r="AU95" s="506"/>
      <c r="AV95" s="506"/>
      <c r="AW95" s="506"/>
      <c r="AX95" s="506"/>
      <c r="AY95" s="506"/>
      <c r="AZ95" s="506"/>
      <c r="BA95" s="506"/>
      <c r="BB95" s="506"/>
      <c r="BC95" s="506"/>
      <c r="BD95" s="506"/>
      <c r="BE95" s="506"/>
      <c r="BF95" s="506"/>
    </row>
    <row r="96" spans="1:58" s="317" customFormat="1" ht="55.5" customHeight="1" x14ac:dyDescent="0.2">
      <c r="A96" s="859"/>
      <c r="B96" s="910"/>
      <c r="C96" s="912"/>
      <c r="D96" s="926"/>
      <c r="E96" s="917"/>
      <c r="F96" s="376" t="b">
        <f>IF(Linear!E20="Always","Where trees have been planted, annual maintenance such as replacing dead trees or removing tree guards is ALWAYS completed, when required.",IF(AND(Linear!E20="Often"),"Where trees have been planted, annual maintenance such as replacing dead trees or removing tree guards is OFTEN completed, when required.",IF(AND(Linear!E20="Sometimes"),"Where trees have been planted, annual maintenance is SOMETIMES completed. Replant any dead or remove tree guards as required.",IF(AND(Linear!E20="Rarely"),"Where trees have been planted, annual maintenance is RARELY completed. Replant any dead or remove tree guards as required.",IF(AND(Linear!E20="Never"),"Where trees have been planted, annual maintenance is NEVER completed. Replant any dead or remove tree guards as required.",IF(AND(Linear!E20="N/A"),"No areas of tree planting."))))))</f>
        <v>0</v>
      </c>
      <c r="G96" s="847"/>
      <c r="H96" s="497"/>
      <c r="I96" s="508"/>
      <c r="J96" s="15"/>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506"/>
      <c r="AH96" s="506"/>
      <c r="AI96" s="506"/>
      <c r="AJ96" s="506"/>
      <c r="AK96" s="506"/>
      <c r="AL96" s="506"/>
      <c r="AM96" s="506"/>
      <c r="AN96" s="506"/>
      <c r="AO96" s="506"/>
      <c r="AP96" s="506"/>
      <c r="AQ96" s="506"/>
      <c r="AR96" s="506"/>
      <c r="AS96" s="506"/>
      <c r="AT96" s="506"/>
      <c r="AU96" s="506"/>
      <c r="AV96" s="506"/>
      <c r="AW96" s="506"/>
      <c r="AX96" s="506"/>
      <c r="AY96" s="506"/>
      <c r="AZ96" s="506"/>
      <c r="BA96" s="506"/>
      <c r="BB96" s="506"/>
      <c r="BC96" s="506"/>
      <c r="BD96" s="506"/>
      <c r="BE96" s="506"/>
      <c r="BF96" s="506"/>
    </row>
    <row r="97" spans="1:58" s="317" customFormat="1" ht="55.5" customHeight="1" x14ac:dyDescent="0.2">
      <c r="A97" s="859"/>
      <c r="B97" s="910"/>
      <c r="C97" s="912"/>
      <c r="D97" s="926"/>
      <c r="E97" s="917"/>
      <c r="F97" s="376" t="b">
        <f>IF(Linear!E21="Yes","Native wildflower species (eg. yellow rattle) are currently introduced into an existing sward by seed or plug plants.",IF(AND(Linear!E21="No"),"Consider establishing native wildflower species eg. yellow rattle by seed or plug plants into an existing sward."))</f>
        <v>0</v>
      </c>
      <c r="G97" s="847"/>
      <c r="H97" s="497"/>
      <c r="I97" s="508"/>
      <c r="J97" s="15"/>
      <c r="K97" s="336"/>
      <c r="L97" s="336"/>
      <c r="M97" s="336"/>
      <c r="N97" s="336"/>
      <c r="O97" s="336"/>
      <c r="P97" s="336"/>
      <c r="Q97" s="336"/>
      <c r="R97" s="336"/>
      <c r="S97" s="336"/>
      <c r="T97" s="336"/>
      <c r="U97" s="336"/>
      <c r="V97" s="336"/>
      <c r="W97" s="336"/>
      <c r="X97" s="336"/>
      <c r="Y97" s="336"/>
      <c r="Z97" s="336"/>
      <c r="AA97" s="336"/>
      <c r="AB97" s="336"/>
      <c r="AC97" s="336"/>
      <c r="AD97" s="336"/>
      <c r="AE97" s="336"/>
      <c r="AF97" s="336"/>
      <c r="AG97" s="506"/>
      <c r="AH97" s="506"/>
      <c r="AI97" s="506"/>
      <c r="AJ97" s="506"/>
      <c r="AK97" s="506"/>
      <c r="AL97" s="506"/>
      <c r="AM97" s="506"/>
      <c r="AN97" s="506"/>
      <c r="AO97" s="506"/>
      <c r="AP97" s="506"/>
      <c r="AQ97" s="506"/>
      <c r="AR97" s="506"/>
      <c r="AS97" s="506"/>
      <c r="AT97" s="506"/>
      <c r="AU97" s="506"/>
      <c r="AV97" s="506"/>
      <c r="AW97" s="506"/>
      <c r="AX97" s="506"/>
      <c r="AY97" s="506"/>
      <c r="AZ97" s="506"/>
      <c r="BA97" s="506"/>
      <c r="BB97" s="506"/>
      <c r="BC97" s="506"/>
      <c r="BD97" s="506"/>
      <c r="BE97" s="506"/>
      <c r="BF97" s="506"/>
    </row>
    <row r="98" spans="1:58" s="317" customFormat="1" ht="68.25" customHeight="1" x14ac:dyDescent="0.2">
      <c r="A98" s="859"/>
      <c r="B98" s="910"/>
      <c r="C98" s="912"/>
      <c r="D98" s="926"/>
      <c r="E98" s="917"/>
      <c r="F98" s="376" t="b">
        <f>IF(Linear!E22="Always","Herbage is ALWAYS removed from wider riparian buffers after 15th July annually, to reduce soil nutrient status.",IF(AND(Linear!E22="Often"),"Herbage is OFTEN removed from wider riparian buffers after 15th July annually, to reduce soil nutrient status.",IF(AND(Linear!E22="Sometimes"),"Herbage is SOMETIMES removed from wider riparian buffers after 15th July annually. Consider removing the herbage after the 15th July to reduce soil nutrient status.",IF(AND(Linear!E22="Rarely"),"Herbage is RARELY removed from wider riparian buffers after 15th July annually. Consider removing the herbage after the 15th July to reduce soil nutrient status.",IF(AND(Linear!E22="Never"),"Herbage is NEVER removed from wider riparian buffers after 15th July annually. Consider removing the herbage after the 15th July to reduce soil nutrient status.")))))</f>
        <v>0</v>
      </c>
      <c r="G98" s="847"/>
      <c r="H98" s="497"/>
      <c r="I98" s="508"/>
      <c r="J98" s="505"/>
      <c r="K98" s="336"/>
      <c r="L98" s="336"/>
      <c r="M98" s="336"/>
      <c r="N98" s="336"/>
      <c r="O98" s="336"/>
      <c r="P98" s="336"/>
      <c r="Q98" s="336"/>
      <c r="R98" s="336"/>
      <c r="S98" s="336"/>
      <c r="T98" s="336"/>
      <c r="U98" s="336"/>
      <c r="V98" s="336"/>
      <c r="W98" s="336"/>
      <c r="X98" s="336"/>
      <c r="Y98" s="336"/>
      <c r="Z98" s="336"/>
      <c r="AA98" s="336"/>
      <c r="AB98" s="336"/>
      <c r="AC98" s="336"/>
      <c r="AD98" s="336"/>
      <c r="AE98" s="336"/>
      <c r="AF98" s="336"/>
      <c r="AG98" s="506"/>
      <c r="AH98" s="506"/>
      <c r="AI98" s="506"/>
      <c r="AJ98" s="506"/>
      <c r="AK98" s="506"/>
      <c r="AL98" s="506"/>
      <c r="AM98" s="506"/>
      <c r="AN98" s="506"/>
      <c r="AO98" s="506"/>
      <c r="AP98" s="506"/>
      <c r="AQ98" s="506"/>
      <c r="AR98" s="506"/>
      <c r="AS98" s="506"/>
      <c r="AT98" s="506"/>
      <c r="AU98" s="506"/>
      <c r="AV98" s="506"/>
      <c r="AW98" s="506"/>
      <c r="AX98" s="506"/>
      <c r="AY98" s="506"/>
      <c r="AZ98" s="506"/>
      <c r="BA98" s="506"/>
      <c r="BB98" s="506"/>
      <c r="BC98" s="506"/>
      <c r="BD98" s="506"/>
      <c r="BE98" s="506"/>
      <c r="BF98" s="506"/>
    </row>
    <row r="99" spans="1:58" s="317" customFormat="1" ht="55.5" customHeight="1" x14ac:dyDescent="0.2">
      <c r="A99" s="859"/>
      <c r="B99" s="911"/>
      <c r="C99" s="912"/>
      <c r="D99" s="926"/>
      <c r="E99" s="917"/>
      <c r="F99" s="376" t="str">
        <f>Linear!E23&amp;" - "&amp;Linear!D23</f>
        <v xml:space="preserve"> - </v>
      </c>
      <c r="G99" s="847"/>
      <c r="H99" s="497"/>
      <c r="I99" s="508"/>
      <c r="J99" s="505"/>
      <c r="K99" s="336"/>
      <c r="L99" s="336"/>
      <c r="M99" s="336"/>
      <c r="N99" s="336"/>
      <c r="O99" s="336"/>
      <c r="P99" s="336"/>
      <c r="Q99" s="336"/>
      <c r="R99" s="336"/>
      <c r="S99" s="336"/>
      <c r="T99" s="336"/>
      <c r="U99" s="336"/>
      <c r="V99" s="336"/>
      <c r="W99" s="336"/>
      <c r="X99" s="336"/>
      <c r="Y99" s="336"/>
      <c r="Z99" s="336"/>
      <c r="AA99" s="336"/>
      <c r="AB99" s="336"/>
      <c r="AC99" s="336"/>
      <c r="AD99" s="336"/>
      <c r="AE99" s="336"/>
      <c r="AF99" s="336"/>
      <c r="AG99" s="506"/>
      <c r="AH99" s="506"/>
      <c r="AI99" s="506"/>
      <c r="AJ99" s="506"/>
      <c r="AK99" s="506"/>
      <c r="AL99" s="506"/>
      <c r="AM99" s="506"/>
      <c r="AN99" s="506"/>
      <c r="AO99" s="506"/>
      <c r="AP99" s="506"/>
      <c r="AQ99" s="506"/>
      <c r="AR99" s="506"/>
      <c r="AS99" s="506"/>
      <c r="AT99" s="506"/>
      <c r="AU99" s="506"/>
      <c r="AV99" s="506"/>
      <c r="AW99" s="506"/>
      <c r="AX99" s="506"/>
      <c r="AY99" s="506"/>
      <c r="AZ99" s="506"/>
      <c r="BA99" s="506"/>
      <c r="BB99" s="506"/>
      <c r="BC99" s="506"/>
      <c r="BD99" s="506"/>
      <c r="BE99" s="506"/>
      <c r="BF99" s="506"/>
    </row>
    <row r="100" spans="1:58" s="317" customFormat="1" ht="36.75" customHeight="1" thickBot="1" x14ac:dyDescent="0.25">
      <c r="A100" s="859"/>
      <c r="B100" s="447" t="s">
        <v>141</v>
      </c>
      <c r="C100" s="913" t="str">
        <f>IF(Linear!E24= "Yes","Consider enhancing the existing riparian buffers by completing other works.","Continue to maintain the established trees in the riparian buffers.")</f>
        <v>Continue to maintain the established trees in the riparian buffers.</v>
      </c>
      <c r="D100" s="914"/>
      <c r="E100" s="914"/>
      <c r="F100" s="915"/>
      <c r="G100" s="371"/>
      <c r="H100" s="498"/>
      <c r="I100" s="508"/>
      <c r="J100" s="15"/>
      <c r="K100" s="336"/>
      <c r="L100" s="336"/>
      <c r="M100" s="336"/>
      <c r="N100" s="336"/>
      <c r="O100" s="336"/>
      <c r="P100" s="336"/>
      <c r="Q100" s="336"/>
      <c r="R100" s="336"/>
      <c r="S100" s="336"/>
      <c r="T100" s="336"/>
      <c r="U100" s="336"/>
      <c r="V100" s="336"/>
      <c r="W100" s="336"/>
      <c r="X100" s="336"/>
      <c r="Y100" s="336"/>
      <c r="Z100" s="336"/>
      <c r="AA100" s="336"/>
      <c r="AB100" s="336"/>
      <c r="AC100" s="336"/>
      <c r="AD100" s="336"/>
      <c r="AE100" s="336"/>
      <c r="AF100" s="336"/>
      <c r="AG100" s="506"/>
      <c r="AH100" s="506"/>
      <c r="AI100" s="506"/>
      <c r="AJ100" s="506"/>
      <c r="AK100" s="506"/>
      <c r="AL100" s="506"/>
      <c r="AM100" s="506"/>
      <c r="AN100" s="506"/>
      <c r="AO100" s="506"/>
      <c r="AP100" s="506"/>
      <c r="AQ100" s="506"/>
      <c r="AR100" s="506"/>
      <c r="AS100" s="506"/>
      <c r="AT100" s="506"/>
      <c r="AU100" s="506"/>
      <c r="AV100" s="506"/>
      <c r="AW100" s="506"/>
      <c r="AX100" s="506"/>
      <c r="AY100" s="506"/>
      <c r="AZ100" s="506"/>
      <c r="BA100" s="506"/>
      <c r="BB100" s="506"/>
      <c r="BC100" s="506"/>
      <c r="BD100" s="506"/>
      <c r="BE100" s="506"/>
      <c r="BF100" s="506"/>
    </row>
    <row r="101" spans="1:58" s="317" customFormat="1" ht="24.75" customHeight="1" thickBot="1" x14ac:dyDescent="0.25">
      <c r="A101" s="859"/>
      <c r="B101" s="907" t="s">
        <v>97</v>
      </c>
      <c r="C101" s="908"/>
      <c r="D101" s="908"/>
      <c r="E101" s="908"/>
      <c r="F101" s="908"/>
      <c r="G101" s="909"/>
      <c r="H101" s="838"/>
      <c r="I101" s="508"/>
      <c r="J101" s="15"/>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506"/>
      <c r="AH101" s="506"/>
      <c r="AI101" s="506"/>
      <c r="AJ101" s="506"/>
      <c r="AK101" s="506"/>
      <c r="AL101" s="506"/>
      <c r="AM101" s="506"/>
      <c r="AN101" s="506"/>
      <c r="AO101" s="506"/>
      <c r="AP101" s="506"/>
      <c r="AQ101" s="506"/>
      <c r="AR101" s="506"/>
      <c r="AS101" s="506"/>
      <c r="AT101" s="506"/>
      <c r="AU101" s="506"/>
      <c r="AV101" s="506"/>
      <c r="AW101" s="506"/>
      <c r="AX101" s="506"/>
      <c r="AY101" s="506"/>
      <c r="AZ101" s="506"/>
      <c r="BA101" s="506"/>
      <c r="BB101" s="506"/>
      <c r="BC101" s="506"/>
      <c r="BD101" s="506"/>
      <c r="BE101" s="506"/>
      <c r="BF101" s="506"/>
    </row>
    <row r="102" spans="1:58" s="317" customFormat="1" ht="24" customHeight="1" x14ac:dyDescent="0.2">
      <c r="A102" s="859"/>
      <c r="B102" s="372" t="s">
        <v>100</v>
      </c>
      <c r="C102" s="377" t="str">
        <f>Linear!E29</f>
        <v xml:space="preserve"> </v>
      </c>
      <c r="D102" s="378" t="s">
        <v>113</v>
      </c>
      <c r="E102" s="374"/>
      <c r="F102" s="374"/>
      <c r="G102" s="375"/>
      <c r="H102" s="839"/>
      <c r="I102" s="508"/>
      <c r="J102" s="505"/>
      <c r="K102" s="15"/>
      <c r="L102" s="15"/>
      <c r="M102" s="336"/>
      <c r="N102" s="336"/>
      <c r="O102" s="336"/>
      <c r="P102" s="336"/>
      <c r="Q102" s="336"/>
      <c r="R102" s="336"/>
      <c r="S102" s="336"/>
      <c r="T102" s="336"/>
      <c r="U102" s="336"/>
      <c r="V102" s="336"/>
      <c r="W102" s="336"/>
      <c r="X102" s="336"/>
      <c r="Y102" s="336"/>
      <c r="Z102" s="336"/>
      <c r="AA102" s="336"/>
      <c r="AB102" s="336"/>
      <c r="AC102" s="336"/>
      <c r="AD102" s="336"/>
      <c r="AE102" s="336"/>
      <c r="AF102" s="336"/>
      <c r="AG102" s="506"/>
      <c r="AH102" s="506"/>
      <c r="AI102" s="506"/>
      <c r="AJ102" s="506"/>
      <c r="AK102" s="506"/>
      <c r="AL102" s="506"/>
      <c r="AM102" s="506"/>
      <c r="AN102" s="506"/>
      <c r="AO102" s="506"/>
      <c r="AP102" s="506"/>
      <c r="AQ102" s="506"/>
      <c r="AR102" s="506"/>
      <c r="AS102" s="506"/>
      <c r="AT102" s="506"/>
      <c r="AU102" s="506"/>
      <c r="AV102" s="506"/>
      <c r="AW102" s="506"/>
      <c r="AX102" s="506"/>
      <c r="AY102" s="506"/>
      <c r="AZ102" s="506"/>
      <c r="BA102" s="506"/>
      <c r="BB102" s="506"/>
      <c r="BC102" s="506"/>
      <c r="BD102" s="506"/>
      <c r="BE102" s="506"/>
      <c r="BF102" s="506"/>
    </row>
    <row r="103" spans="1:58" s="317" customFormat="1" ht="78" customHeight="1" x14ac:dyDescent="0.2">
      <c r="A103" s="859"/>
      <c r="B103" s="935" t="s">
        <v>210</v>
      </c>
      <c r="C103" s="876">
        <f>MIN(360,(SUM(Linear!$F$30:$F$39)))</f>
        <v>0</v>
      </c>
      <c r="D103" s="873">
        <v>360</v>
      </c>
      <c r="E103" s="901">
        <f>(C103/D103)</f>
        <v>0</v>
      </c>
      <c r="F103" s="366" t="b">
        <f>IF(Linear!E30="Always","Where conditions allow, hedgerows are ALWAYS left uncut until January-February to ensure berries are available for wildlife.",IF(AND(Linear!E30="Often"),"Where conditions allow, hedgerows are OFTEN left uncut until January-February to ensure berries are available for wildlife.",IF(AND(Linear!E30="Sometimes"),"Where conditions allow, hedgerows are SOMETIMES left uncut until January-February. By delaying the cutting time until January-February, there will be berries available for wildlife during the winter months.",IF(AND(Linear!E30="Rarely"),"Where conditions allow, hedgerows are RARELY left uncut until January-February. By delaying the cutting time until January-February, there will be berries available for wildlife during the winter months.",IF(AND(Linear!E30="Never"),"Hedgerows are NEVER left uncut until January-February. By delaying the cutting time until January-February, there will be berries available for wildlife during the winter months.")))))</f>
        <v>0</v>
      </c>
      <c r="G103" s="847" t="str">
        <f>IF(C103=360,"Maximum score Achieved","Consider always implementing the practices that will enhance the biodiversity of hedgerows. 
Please see those highlighted in red to the left.")</f>
        <v>Consider always implementing the practices that will enhance the biodiversity of hedgerows. 
Please see those highlighted in red to the left.</v>
      </c>
      <c r="H103" s="839"/>
      <c r="I103" s="508"/>
      <c r="J103" s="505"/>
      <c r="K103" s="15"/>
      <c r="L103" s="15"/>
      <c r="M103" s="336"/>
      <c r="N103" s="336"/>
      <c r="O103" s="336"/>
      <c r="P103" s="336"/>
      <c r="Q103" s="336"/>
      <c r="R103" s="336"/>
      <c r="S103" s="336"/>
      <c r="T103" s="336"/>
      <c r="U103" s="336"/>
      <c r="V103" s="336"/>
      <c r="W103" s="336"/>
      <c r="X103" s="336"/>
      <c r="Y103" s="336"/>
      <c r="Z103" s="336"/>
      <c r="AA103" s="336"/>
      <c r="AB103" s="336"/>
      <c r="AC103" s="336"/>
      <c r="AD103" s="336"/>
      <c r="AE103" s="336"/>
      <c r="AF103" s="336"/>
      <c r="AG103" s="506"/>
      <c r="AH103" s="506"/>
      <c r="AI103" s="506"/>
      <c r="AJ103" s="506"/>
      <c r="AK103" s="506"/>
      <c r="AL103" s="506"/>
      <c r="AM103" s="506"/>
      <c r="AN103" s="506"/>
      <c r="AO103" s="506"/>
      <c r="AP103" s="506"/>
      <c r="AQ103" s="506"/>
      <c r="AR103" s="506"/>
      <c r="AS103" s="506"/>
      <c r="AT103" s="506"/>
      <c r="AU103" s="506"/>
      <c r="AV103" s="506"/>
      <c r="AW103" s="506"/>
      <c r="AX103" s="506"/>
      <c r="AY103" s="506"/>
      <c r="AZ103" s="506"/>
      <c r="BA103" s="506"/>
      <c r="BB103" s="506"/>
      <c r="BC103" s="506"/>
      <c r="BD103" s="506"/>
      <c r="BE103" s="506"/>
      <c r="BF103" s="506"/>
    </row>
    <row r="104" spans="1:58" s="317" customFormat="1" ht="78" customHeight="1" x14ac:dyDescent="0.2">
      <c r="A104" s="859"/>
      <c r="B104" s="910"/>
      <c r="C104" s="877"/>
      <c r="D104" s="874"/>
      <c r="E104" s="831"/>
      <c r="F104" s="376" t="b">
        <f>IF(Linear!E31="Always","Hedgerows are ALWAYS cut on a minimum 3-year cycle to allow more flowers and berries to be produced. ",IF(AND(Linear!E31="Often"),"Hedgerows are OFTEN cut on a minimum 3-year cycle to allow more flowers and berries to be produced. ",IF(AND(Linear!E31="Sometimes"),"Hedgerows are SOMETIMES cut on a minimum 3-year cycle. Cutting on a 3-year cycle will allow more flowers and berries to be produced.",IF(AND(Linear!E31="Rarely"),"Hedgerows are RARELY cut on a minimum 3-year cycle. Cutting on a 3-year cycle will allow more flowers and berries to be produced.",IF(AND(Linear!E31="Never"),"Hedgerows are NEVER cut on a minimum 3-year cycle. Cutting on a 3-year cycle will allow more flowers and berries to be produced.")))))</f>
        <v>0</v>
      </c>
      <c r="G104" s="847"/>
      <c r="H104" s="839"/>
      <c r="I104" s="508"/>
      <c r="J104" s="818"/>
      <c r="K104" s="818"/>
      <c r="L104" s="818"/>
      <c r="M104" s="818"/>
      <c r="N104" s="336"/>
      <c r="O104" s="336"/>
      <c r="P104" s="336"/>
      <c r="Q104" s="336"/>
      <c r="R104" s="336"/>
      <c r="S104" s="336"/>
      <c r="T104" s="336"/>
      <c r="U104" s="336"/>
      <c r="V104" s="336"/>
      <c r="W104" s="336"/>
      <c r="X104" s="336"/>
      <c r="Y104" s="336"/>
      <c r="Z104" s="336"/>
      <c r="AA104" s="336"/>
      <c r="AB104" s="336"/>
      <c r="AC104" s="336"/>
      <c r="AD104" s="336"/>
      <c r="AE104" s="336"/>
      <c r="AF104" s="336"/>
      <c r="AG104" s="506"/>
      <c r="AH104" s="506"/>
      <c r="AI104" s="506"/>
      <c r="AJ104" s="506"/>
      <c r="AK104" s="506"/>
      <c r="AL104" s="506"/>
      <c r="AM104" s="506"/>
      <c r="AN104" s="506"/>
      <c r="AO104" s="506"/>
      <c r="AP104" s="506"/>
      <c r="AQ104" s="506"/>
      <c r="AR104" s="506"/>
      <c r="AS104" s="506"/>
      <c r="AT104" s="506"/>
      <c r="AU104" s="506"/>
      <c r="AV104" s="506"/>
      <c r="AW104" s="506"/>
      <c r="AX104" s="506"/>
      <c r="AY104" s="506"/>
      <c r="AZ104" s="506"/>
      <c r="BA104" s="506"/>
      <c r="BB104" s="506"/>
      <c r="BC104" s="506"/>
      <c r="BD104" s="506"/>
      <c r="BE104" s="506"/>
      <c r="BF104" s="506"/>
    </row>
    <row r="105" spans="1:58" s="317" customFormat="1" ht="78" customHeight="1" x14ac:dyDescent="0.2">
      <c r="A105" s="859"/>
      <c r="B105" s="910"/>
      <c r="C105" s="877"/>
      <c r="D105" s="874"/>
      <c r="E105" s="831"/>
      <c r="F105" s="376" t="b">
        <f>IF(Linear!E32="Always","Hedgerows are ALWAYS cut in an incremental strategy leaving an additional 10cm/4 inches when cut. (To increase flowering and hedge size)",IF(AND(Linear!E32="Often"),"Hedgerows are OFTEN cut in an incremental strategy leaving an additional 10cm/4 inches when cut. (To increase flowering and hedge size)",IF(AND(Linear!E32="Sometimes"),"Hedgerows are SOMETIMES cut in an incremental strategy. By leaving an additional 10cm/4 inches when cut, the amount of flowering will increase and the hedge will increase in size.",IF(AND(Linear!E32="Rarely"),"Hedgerows are RARELY cut in an incremental strategy. By leaving an additional 10cm/4 inches when cut, the amount of flowering will increase and the hedge will increase in size.",IF(AND(Linear!E32="Never"),"Hedgerows are NEVER cut in an incremental strategy. By leaving an additional 10cm/4 inches when cut, the amount of flowering will increase and the hedge will increase in size.")))))</f>
        <v>0</v>
      </c>
      <c r="G105" s="847"/>
      <c r="H105" s="839"/>
      <c r="I105" s="508"/>
      <c r="J105" s="818"/>
      <c r="K105" s="818"/>
      <c r="L105" s="818"/>
      <c r="M105" s="818"/>
      <c r="N105" s="336"/>
      <c r="O105" s="336"/>
      <c r="P105" s="336"/>
      <c r="Q105" s="336"/>
      <c r="R105" s="336"/>
      <c r="S105" s="336"/>
      <c r="T105" s="336"/>
      <c r="U105" s="336"/>
      <c r="V105" s="336"/>
      <c r="W105" s="336"/>
      <c r="X105" s="336"/>
      <c r="Y105" s="336"/>
      <c r="Z105" s="336"/>
      <c r="AA105" s="336"/>
      <c r="AB105" s="336"/>
      <c r="AC105" s="336"/>
      <c r="AD105" s="336"/>
      <c r="AE105" s="336"/>
      <c r="AF105" s="336"/>
      <c r="AG105" s="506"/>
      <c r="AH105" s="506"/>
      <c r="AI105" s="506"/>
      <c r="AJ105" s="506"/>
      <c r="AK105" s="506"/>
      <c r="AL105" s="506"/>
      <c r="AM105" s="506"/>
      <c r="AN105" s="506"/>
      <c r="AO105" s="506"/>
      <c r="AP105" s="506"/>
      <c r="AQ105" s="506"/>
      <c r="AR105" s="506"/>
      <c r="AS105" s="506"/>
      <c r="AT105" s="506"/>
      <c r="AU105" s="506"/>
      <c r="AV105" s="506"/>
      <c r="AW105" s="506"/>
      <c r="AX105" s="506"/>
      <c r="AY105" s="506"/>
      <c r="AZ105" s="506"/>
      <c r="BA105" s="506"/>
      <c r="BB105" s="506"/>
      <c r="BC105" s="506"/>
      <c r="BD105" s="506"/>
      <c r="BE105" s="506"/>
      <c r="BF105" s="506"/>
    </row>
    <row r="106" spans="1:58" s="317" customFormat="1" ht="78" customHeight="1" x14ac:dyDescent="0.2">
      <c r="A106" s="859"/>
      <c r="B106" s="910"/>
      <c r="C106" s="877"/>
      <c r="D106" s="874"/>
      <c r="E106" s="831"/>
      <c r="F106" s="376" t="b">
        <f>IF(Linear!E33="Always","Hedgerows ALWAYS contain at least one tree (either saplings or mature trees) every 50m on average.",IF(AND(Linear!E33="Often"),"Hedgerows OFTEN contain at least one tree (either saplings or mature trees) every 50m on average.",IF(AND(Linear!E33="Sometimes"),"Hedgerows SOMETIMES contain at least one tree every 50m. Consider establishing at least one hedgerow tree (either saplings or mature trees) every 50m on average.",IF(AND(Linear!E33="Rarely"),"Hedgerows RARELY contain at least one tree every 50m. Consider establishing at least one hedgerow tree (either saplings or mature trees) every 50m on average.",IF(AND(Linear!E33="Never"),"Hedgerows NEVER contain at least one tree every 50m. Consider establishing at least one hedgerow tree (either saplings or mature trees) every 50m on average.")))))</f>
        <v>0</v>
      </c>
      <c r="G106" s="847"/>
      <c r="H106" s="839"/>
      <c r="I106" s="508"/>
      <c r="J106" s="818"/>
      <c r="K106" s="818"/>
      <c r="L106" s="818"/>
      <c r="M106" s="818"/>
      <c r="N106" s="336"/>
      <c r="O106" s="336"/>
      <c r="P106" s="336"/>
      <c r="Q106" s="336"/>
      <c r="R106" s="336"/>
      <c r="S106" s="336"/>
      <c r="T106" s="336"/>
      <c r="U106" s="336"/>
      <c r="V106" s="336"/>
      <c r="W106" s="336"/>
      <c r="X106" s="336"/>
      <c r="Y106" s="336"/>
      <c r="Z106" s="336"/>
      <c r="AA106" s="336"/>
      <c r="AB106" s="336"/>
      <c r="AC106" s="336"/>
      <c r="AD106" s="336"/>
      <c r="AE106" s="336"/>
      <c r="AF106" s="336"/>
      <c r="AG106" s="506"/>
      <c r="AH106" s="506"/>
      <c r="AI106" s="506"/>
      <c r="AJ106" s="506"/>
      <c r="AK106" s="506"/>
      <c r="AL106" s="506"/>
      <c r="AM106" s="506"/>
      <c r="AN106" s="506"/>
      <c r="AO106" s="506"/>
      <c r="AP106" s="506"/>
      <c r="AQ106" s="506"/>
      <c r="AR106" s="506"/>
      <c r="AS106" s="506"/>
      <c r="AT106" s="506"/>
      <c r="AU106" s="506"/>
      <c r="AV106" s="506"/>
      <c r="AW106" s="506"/>
      <c r="AX106" s="506"/>
      <c r="AY106" s="506"/>
      <c r="AZ106" s="506"/>
      <c r="BA106" s="506"/>
      <c r="BB106" s="506"/>
      <c r="BC106" s="506"/>
      <c r="BD106" s="506"/>
      <c r="BE106" s="506"/>
      <c r="BF106" s="506"/>
    </row>
    <row r="107" spans="1:58" s="317" customFormat="1" ht="78" customHeight="1" x14ac:dyDescent="0.2">
      <c r="A107" s="859"/>
      <c r="B107" s="910"/>
      <c r="C107" s="877"/>
      <c r="D107" s="874"/>
      <c r="E107" s="831"/>
      <c r="F107" s="376" t="b">
        <f>IF(Linear!E34="Always","At least one Whitethorn/Hawthorn in each hedgerow is ALWAYS allowed to grow into a mature flowering tree.",IF(AND(Linear!E34="Often"),"At least one Whitethorn/Hawthorn in each hedgerow is OFTEN allowed to grow into a mature flowering tree.",IF(AND(Linear!E34="Sometimes"),"SOMETIMES there is at least one Whitethorn/Hawthorn in each hedgerow which is allowed to grow into a mature flowering tree. Consider leaving a thorn uncut to grow into a flowering tree.",IF(AND(Linear!E34="Rarely"),"RARELY there is at least one Whitethorn/Hawthorn in each hedgerow which is allowed to grow into a mature flowering tree. Consider leaving a thorn uncut to grow into a flowering tree.",IF(AND(Linear!E34="Never"),"There is NEVER at least one Whitethorn/Hawthorn in each hedgerow which is allowed to grow into a mature flowering tree. Consider leaving a thorn uncut to grow into a flowering tree.")))))</f>
        <v>0</v>
      </c>
      <c r="G107" s="847"/>
      <c r="H107" s="839"/>
      <c r="I107" s="508"/>
      <c r="J107" s="818"/>
      <c r="K107" s="818"/>
      <c r="L107" s="818"/>
      <c r="M107" s="818"/>
      <c r="N107" s="336"/>
      <c r="O107" s="336"/>
      <c r="P107" s="336"/>
      <c r="Q107" s="336"/>
      <c r="R107" s="336"/>
      <c r="S107" s="336"/>
      <c r="T107" s="336"/>
      <c r="U107" s="336"/>
      <c r="V107" s="336"/>
      <c r="W107" s="336"/>
      <c r="X107" s="336"/>
      <c r="Y107" s="336"/>
      <c r="Z107" s="336"/>
      <c r="AA107" s="336"/>
      <c r="AB107" s="336"/>
      <c r="AC107" s="336"/>
      <c r="AD107" s="336"/>
      <c r="AE107" s="336"/>
      <c r="AF107" s="336"/>
      <c r="AG107" s="506"/>
      <c r="AH107" s="506"/>
      <c r="AI107" s="506"/>
      <c r="AJ107" s="506"/>
      <c r="AK107" s="506"/>
      <c r="AL107" s="506"/>
      <c r="AM107" s="506"/>
      <c r="AN107" s="506"/>
      <c r="AO107" s="506"/>
      <c r="AP107" s="506"/>
      <c r="AQ107" s="506"/>
      <c r="AR107" s="506"/>
      <c r="AS107" s="506"/>
      <c r="AT107" s="506"/>
      <c r="AU107" s="506"/>
      <c r="AV107" s="506"/>
      <c r="AW107" s="506"/>
      <c r="AX107" s="506"/>
      <c r="AY107" s="506"/>
      <c r="AZ107" s="506"/>
      <c r="BA107" s="506"/>
      <c r="BB107" s="506"/>
      <c r="BC107" s="506"/>
      <c r="BD107" s="506"/>
      <c r="BE107" s="506"/>
      <c r="BF107" s="506"/>
    </row>
    <row r="108" spans="1:58" s="317" customFormat="1" ht="96" customHeight="1" x14ac:dyDescent="0.2">
      <c r="A108" s="859"/>
      <c r="B108" s="910"/>
      <c r="C108" s="877"/>
      <c r="D108" s="874"/>
      <c r="E108" s="831"/>
      <c r="F108" s="376" t="b">
        <f>IF(Linear!E35="Always","Hedgerows ALWAYS contain a mix of native pollinator-friendly (flowering) trees/shrubs that are allowed to flower to provide food throughout the season.",IF(AND(Linear!E35="Often"),"Hedgerows OFTEN contain a mix of native pollinator-friendly (flowering) trees/shrubs that are allowed to flower to provide food throughout the season.",IF(AND(Linear!E35="Sometimes"),"Hedgerows SOMETIMES contain a mix of native pollinator-friendly (flowering) trees/shrubs. Consider using a mix of native pollinator-friendly trees and shrubs that are allowed to flower to provide food throughout the season.",IF(AND(Linear!E35="Rarely"),"Hedgerows RARELY contain a mix of native pollinator-friendly (flowering) trees/shrubs. Consider using a mix of native pollinator-friendly trees and shrubs that are allowed to flower to provide food throughout the season.",IF(AND(Linear!E35="Never"),"Hedgerows NEVER contain a mix of native pollinator-friendly (flowering) trees/shrubs. Consider using a mix of native pollinator-friendly trees and shrubs that are allowed to flower to provide food throughout the season.")))))</f>
        <v>0</v>
      </c>
      <c r="G108" s="847"/>
      <c r="H108" s="839"/>
      <c r="I108" s="508"/>
      <c r="J108" s="818"/>
      <c r="K108" s="818"/>
      <c r="L108" s="818"/>
      <c r="M108" s="818"/>
      <c r="N108" s="336"/>
      <c r="O108" s="336"/>
      <c r="P108" s="336"/>
      <c r="Q108" s="336"/>
      <c r="R108" s="336"/>
      <c r="S108" s="336"/>
      <c r="T108" s="336"/>
      <c r="U108" s="336"/>
      <c r="V108" s="336"/>
      <c r="W108" s="336"/>
      <c r="X108" s="336"/>
      <c r="Y108" s="336"/>
      <c r="Z108" s="336"/>
      <c r="AA108" s="336"/>
      <c r="AB108" s="336"/>
      <c r="AC108" s="336"/>
      <c r="AD108" s="336"/>
      <c r="AE108" s="336"/>
      <c r="AF108" s="336"/>
      <c r="AG108" s="506"/>
      <c r="AH108" s="506"/>
      <c r="AI108" s="506"/>
      <c r="AJ108" s="506"/>
      <c r="AK108" s="506"/>
      <c r="AL108" s="506"/>
      <c r="AM108" s="506"/>
      <c r="AN108" s="506"/>
      <c r="AO108" s="506"/>
      <c r="AP108" s="506"/>
      <c r="AQ108" s="506"/>
      <c r="AR108" s="506"/>
      <c r="AS108" s="506"/>
      <c r="AT108" s="506"/>
      <c r="AU108" s="506"/>
      <c r="AV108" s="506"/>
      <c r="AW108" s="506"/>
      <c r="AX108" s="506"/>
      <c r="AY108" s="506"/>
      <c r="AZ108" s="506"/>
      <c r="BA108" s="506"/>
      <c r="BB108" s="506"/>
      <c r="BC108" s="506"/>
      <c r="BD108" s="506"/>
      <c r="BE108" s="506"/>
      <c r="BF108" s="506"/>
    </row>
    <row r="109" spans="1:58" s="317" customFormat="1" ht="78" customHeight="1" x14ac:dyDescent="0.2">
      <c r="A109" s="859"/>
      <c r="B109" s="910"/>
      <c r="C109" s="877"/>
      <c r="D109" s="874"/>
      <c r="E109" s="831"/>
      <c r="F109" s="376" t="b">
        <f>IF(Linear!E36="Always","Hedgerows are ALWAYS at least 2.5m in height, 1.5m in width and are thick to the base.",IF(AND(Linear!E36="Often"),"Hedgerows are OFTEN at least 2.5m in height, 1.5m in width and are thick to the base.",IF(AND(Linear!E36="Sometimes"),"Hedgerows are SOMETIMES at least 2.5m in height, 1.5m in width and are thick to the base. Consider allowing all hedgerows to grow to be at least 2.5m in height, 1.5m wide and thick to the base.",IF(AND(Linear!E36="Rarely"),"Hedgerows are RARELY at least 2.5m in height, 1.5m in width and are thick to the base. Consider allowing all hedgerows to grow to be at least 2.5m in height, 1.5m wide and thick to the base.",IF(AND(Linear!E36="Never"),"Hedgerows are NEVER at least 2.5m in height, 1.5m in width and are thick to the base. Consider allowing hedgerows to grow to be at least 2.5m in height, 1.5m wide and thick to the base.")))))</f>
        <v>0</v>
      </c>
      <c r="G109" s="847"/>
      <c r="H109" s="839"/>
      <c r="I109" s="508"/>
      <c r="J109" s="818"/>
      <c r="K109" s="818"/>
      <c r="L109" s="818"/>
      <c r="M109" s="818"/>
      <c r="N109" s="336"/>
      <c r="O109" s="336"/>
      <c r="P109" s="336"/>
      <c r="Q109" s="336"/>
      <c r="R109" s="336"/>
      <c r="S109" s="336"/>
      <c r="T109" s="336"/>
      <c r="U109" s="336"/>
      <c r="V109" s="336"/>
      <c r="W109" s="336"/>
      <c r="X109" s="336"/>
      <c r="Y109" s="336"/>
      <c r="Z109" s="336"/>
      <c r="AA109" s="336"/>
      <c r="AB109" s="336"/>
      <c r="AC109" s="336"/>
      <c r="AD109" s="336"/>
      <c r="AE109" s="336"/>
      <c r="AF109" s="336"/>
      <c r="AG109" s="506"/>
      <c r="AH109" s="506"/>
      <c r="AI109" s="506"/>
      <c r="AJ109" s="506"/>
      <c r="AK109" s="506"/>
      <c r="AL109" s="506"/>
      <c r="AM109" s="506"/>
      <c r="AN109" s="506"/>
      <c r="AO109" s="506"/>
      <c r="AP109" s="506"/>
      <c r="AQ109" s="506"/>
      <c r="AR109" s="506"/>
      <c r="AS109" s="506"/>
      <c r="AT109" s="506"/>
      <c r="AU109" s="506"/>
      <c r="AV109" s="506"/>
      <c r="AW109" s="506"/>
      <c r="AX109" s="506"/>
      <c r="AY109" s="506"/>
      <c r="AZ109" s="506"/>
      <c r="BA109" s="506"/>
      <c r="BB109" s="506"/>
      <c r="BC109" s="506"/>
      <c r="BD109" s="506"/>
      <c r="BE109" s="506"/>
      <c r="BF109" s="506"/>
    </row>
    <row r="110" spans="1:58" s="317" customFormat="1" ht="94.5" customHeight="1" x14ac:dyDescent="0.2">
      <c r="A110" s="859"/>
      <c r="B110" s="910"/>
      <c r="C110" s="877"/>
      <c r="D110" s="874"/>
      <c r="E110" s="831"/>
      <c r="F110" s="376" t="b">
        <f>IF(Linear!E37="Always","Small areas of exposed bare earth on the south/east facing side of the hedge base are ALWAYS left to provide areas for mining solitary bees to nest.",IF(AND(Linear!E37="Often"),"Small areas of exposed bare earth on the south/east facing side of the hedge base are OFTEN left to provide areas for mining solitary bees to nest.",IF(AND(Linear!E37="Sometimes"),"Small areas of bare earth on the south/east facing side of the hedge base are SOMETIMES exposed. Consider exposing small areas of bare earth on the south/east facing side of the hedge base to be left to provide areas for mining solitary bees to nest.",IF(AND(Linear!E37="Rarely"),"Small areas of bare earth on the south/east facing side of the hedge base are RARELY exposed. Consider exposing small areas of bare earth on the south/east facing side of the hedge base to be left to provide areas for mining solitary bees to nest.",IF(AND(Linear!E37="Never"),"Small areas of bare earth on the south/east facing side of the hedge base are NEVER exposed. Consider exposing small areas of bare earth on the south/east facing side of the hedge base to be left to provide areas for mining solitary bees to nest.")))))</f>
        <v>0</v>
      </c>
      <c r="G110" s="847"/>
      <c r="H110" s="839"/>
      <c r="I110" s="508"/>
      <c r="J110" s="15"/>
      <c r="K110" s="336"/>
      <c r="L110" s="336"/>
      <c r="M110" s="336"/>
      <c r="N110" s="336"/>
      <c r="O110" s="336"/>
      <c r="P110" s="336"/>
      <c r="Q110" s="336"/>
      <c r="R110" s="336"/>
      <c r="S110" s="336"/>
      <c r="T110" s="336"/>
      <c r="U110" s="336"/>
      <c r="V110" s="336"/>
      <c r="W110" s="336"/>
      <c r="X110" s="336"/>
      <c r="Y110" s="336"/>
      <c r="Z110" s="336"/>
      <c r="AA110" s="336"/>
      <c r="AB110" s="336"/>
      <c r="AC110" s="336"/>
      <c r="AD110" s="336"/>
      <c r="AE110" s="336"/>
      <c r="AF110" s="336"/>
      <c r="AG110" s="506"/>
      <c r="AH110" s="506"/>
      <c r="AI110" s="506"/>
      <c r="AJ110" s="506"/>
      <c r="AK110" s="506"/>
      <c r="AL110" s="506"/>
      <c r="AM110" s="506"/>
      <c r="AN110" s="506"/>
      <c r="AO110" s="506"/>
      <c r="AP110" s="506"/>
      <c r="AQ110" s="506"/>
      <c r="AR110" s="506"/>
      <c r="AS110" s="506"/>
      <c r="AT110" s="506"/>
      <c r="AU110" s="506"/>
      <c r="AV110" s="506"/>
      <c r="AW110" s="506"/>
      <c r="AX110" s="506"/>
      <c r="AY110" s="506"/>
      <c r="AZ110" s="506"/>
      <c r="BA110" s="506"/>
      <c r="BB110" s="506"/>
      <c r="BC110" s="506"/>
      <c r="BD110" s="506"/>
      <c r="BE110" s="506"/>
      <c r="BF110" s="506"/>
    </row>
    <row r="111" spans="1:58" s="317" customFormat="1" ht="37.5" customHeight="1" x14ac:dyDescent="0.2">
      <c r="A111" s="859"/>
      <c r="B111" s="910"/>
      <c r="C111" s="877"/>
      <c r="D111" s="874"/>
      <c r="E111" s="831"/>
      <c r="F111" s="376" t="str">
        <f>Linear!E38&amp;" - "&amp;Linear!D38</f>
        <v xml:space="preserve"> - </v>
      </c>
      <c r="G111" s="847"/>
      <c r="H111" s="839"/>
      <c r="I111" s="508"/>
      <c r="J111" s="505"/>
      <c r="K111" s="336"/>
      <c r="L111" s="336"/>
      <c r="M111" s="336"/>
      <c r="N111" s="336"/>
      <c r="O111" s="336"/>
      <c r="P111" s="336"/>
      <c r="Q111" s="336"/>
      <c r="R111" s="336"/>
      <c r="S111" s="336"/>
      <c r="T111" s="336"/>
      <c r="U111" s="336"/>
      <c r="V111" s="336"/>
      <c r="W111" s="336"/>
      <c r="X111" s="336"/>
      <c r="Y111" s="336"/>
      <c r="Z111" s="336"/>
      <c r="AA111" s="336"/>
      <c r="AB111" s="336"/>
      <c r="AC111" s="336"/>
      <c r="AD111" s="336"/>
      <c r="AE111" s="336"/>
      <c r="AF111" s="336"/>
      <c r="AG111" s="506"/>
      <c r="AH111" s="506"/>
      <c r="AI111" s="506"/>
      <c r="AJ111" s="506"/>
      <c r="AK111" s="506"/>
      <c r="AL111" s="506"/>
      <c r="AM111" s="506"/>
      <c r="AN111" s="506"/>
      <c r="AO111" s="506"/>
      <c r="AP111" s="506"/>
      <c r="AQ111" s="506"/>
      <c r="AR111" s="506"/>
      <c r="AS111" s="506"/>
      <c r="AT111" s="506"/>
      <c r="AU111" s="506"/>
      <c r="AV111" s="506"/>
      <c r="AW111" s="506"/>
      <c r="AX111" s="506"/>
      <c r="AY111" s="506"/>
      <c r="AZ111" s="506"/>
      <c r="BA111" s="506"/>
      <c r="BB111" s="506"/>
      <c r="BC111" s="506"/>
      <c r="BD111" s="506"/>
      <c r="BE111" s="506"/>
      <c r="BF111" s="506"/>
    </row>
    <row r="112" spans="1:58" s="317" customFormat="1" ht="37.5" customHeight="1" x14ac:dyDescent="0.2">
      <c r="A112" s="859"/>
      <c r="B112" s="911"/>
      <c r="C112" s="878"/>
      <c r="D112" s="875"/>
      <c r="E112" s="902"/>
      <c r="F112" s="376" t="str">
        <f>Linear!E39&amp;" - "&amp;Linear!D39</f>
        <v xml:space="preserve"> - </v>
      </c>
      <c r="G112" s="847"/>
      <c r="H112" s="839"/>
      <c r="I112" s="508"/>
      <c r="J112" s="15"/>
      <c r="K112" s="336"/>
      <c r="L112" s="336"/>
      <c r="M112" s="336"/>
      <c r="N112" s="336"/>
      <c r="O112" s="336"/>
      <c r="P112" s="336"/>
      <c r="Q112" s="336"/>
      <c r="R112" s="336"/>
      <c r="S112" s="336"/>
      <c r="T112" s="336"/>
      <c r="U112" s="336"/>
      <c r="V112" s="336"/>
      <c r="W112" s="336"/>
      <c r="X112" s="336"/>
      <c r="Y112" s="336"/>
      <c r="Z112" s="336"/>
      <c r="AA112" s="336"/>
      <c r="AB112" s="336"/>
      <c r="AC112" s="336"/>
      <c r="AD112" s="336"/>
      <c r="AE112" s="336"/>
      <c r="AF112" s="336"/>
      <c r="AG112" s="506"/>
      <c r="AH112" s="506"/>
      <c r="AI112" s="506"/>
      <c r="AJ112" s="506"/>
      <c r="AK112" s="506"/>
      <c r="AL112" s="506"/>
      <c r="AM112" s="506"/>
      <c r="AN112" s="506"/>
      <c r="AO112" s="506"/>
      <c r="AP112" s="506"/>
      <c r="AQ112" s="506"/>
      <c r="AR112" s="506"/>
      <c r="AS112" s="506"/>
      <c r="AT112" s="506"/>
      <c r="AU112" s="506"/>
      <c r="AV112" s="506"/>
      <c r="AW112" s="506"/>
      <c r="AX112" s="506"/>
      <c r="AY112" s="506"/>
      <c r="AZ112" s="506"/>
      <c r="BA112" s="506"/>
      <c r="BB112" s="506"/>
      <c r="BC112" s="506"/>
      <c r="BD112" s="506"/>
      <c r="BE112" s="506"/>
      <c r="BF112" s="506"/>
    </row>
    <row r="113" spans="1:58" s="317" customFormat="1" ht="55.5" customHeight="1" x14ac:dyDescent="0.2">
      <c r="A113" s="859"/>
      <c r="B113" s="451" t="s">
        <v>27</v>
      </c>
      <c r="C113" s="450"/>
      <c r="D113" s="929" t="str">
        <f>IF(Linear!D40="No - All field boundaries already have hedges/walls or sheughs","All habitats are connected with hedges, walls or sheughs", "Consider planting new hedges to connect existing habitats")</f>
        <v>Consider planting new hedges to connect existing habitats</v>
      </c>
      <c r="E113" s="930"/>
      <c r="F113" s="931"/>
      <c r="G113" s="371"/>
      <c r="H113" s="839"/>
      <c r="I113" s="508"/>
      <c r="J113" s="15"/>
      <c r="K113" s="336"/>
      <c r="L113" s="336"/>
      <c r="M113" s="336"/>
      <c r="N113" s="336"/>
      <c r="O113" s="336"/>
      <c r="P113" s="336"/>
      <c r="Q113" s="336"/>
      <c r="R113" s="336"/>
      <c r="S113" s="336"/>
      <c r="T113" s="336"/>
      <c r="U113" s="336"/>
      <c r="V113" s="336"/>
      <c r="W113" s="336"/>
      <c r="X113" s="336"/>
      <c r="Y113" s="336"/>
      <c r="Z113" s="336"/>
      <c r="AA113" s="336"/>
      <c r="AB113" s="336"/>
      <c r="AC113" s="336"/>
      <c r="AD113" s="336"/>
      <c r="AE113" s="336"/>
      <c r="AF113" s="336"/>
      <c r="AG113" s="506"/>
      <c r="AH113" s="506"/>
      <c r="AI113" s="506"/>
      <c r="AJ113" s="506"/>
      <c r="AK113" s="506"/>
      <c r="AL113" s="506"/>
      <c r="AM113" s="506"/>
      <c r="AN113" s="506"/>
      <c r="AO113" s="506"/>
      <c r="AP113" s="506"/>
      <c r="AQ113" s="506"/>
      <c r="AR113" s="506"/>
      <c r="AS113" s="506"/>
      <c r="AT113" s="506"/>
      <c r="AU113" s="506"/>
      <c r="AV113" s="506"/>
      <c r="AW113" s="506"/>
      <c r="AX113" s="506"/>
      <c r="AY113" s="506"/>
      <c r="AZ113" s="506"/>
      <c r="BA113" s="506"/>
      <c r="BB113" s="506"/>
      <c r="BC113" s="506"/>
      <c r="BD113" s="506"/>
      <c r="BE113" s="506"/>
      <c r="BF113" s="506"/>
    </row>
    <row r="114" spans="1:58" s="317" customFormat="1" ht="59.25" customHeight="1" thickBot="1" x14ac:dyDescent="0.25">
      <c r="A114" s="859"/>
      <c r="B114" s="436" t="s">
        <v>28</v>
      </c>
      <c r="C114" s="437"/>
      <c r="D114" s="932" t="str">
        <f>IF(Linear!D41="No","Consider restoring a portion of hedge every year through laying or coppicing and interplanting","Keep restoring a portion of hedge every year")</f>
        <v>Keep restoring a portion of hedge every year</v>
      </c>
      <c r="E114" s="933"/>
      <c r="F114" s="934"/>
      <c r="G114" s="371"/>
      <c r="H114" s="839"/>
      <c r="I114" s="508"/>
      <c r="J114" s="15"/>
      <c r="K114" s="336"/>
      <c r="L114" s="336"/>
      <c r="M114" s="336"/>
      <c r="N114" s="336"/>
      <c r="O114" s="336"/>
      <c r="P114" s="336"/>
      <c r="Q114" s="336"/>
      <c r="R114" s="336"/>
      <c r="S114" s="336"/>
      <c r="T114" s="336"/>
      <c r="U114" s="336"/>
      <c r="V114" s="336"/>
      <c r="W114" s="336"/>
      <c r="X114" s="336"/>
      <c r="Y114" s="336"/>
      <c r="Z114" s="336"/>
      <c r="AA114" s="336"/>
      <c r="AB114" s="336"/>
      <c r="AC114" s="336"/>
      <c r="AD114" s="336"/>
      <c r="AE114" s="336"/>
      <c r="AF114" s="336"/>
      <c r="AG114" s="506"/>
      <c r="AH114" s="506"/>
      <c r="AI114" s="506"/>
      <c r="AJ114" s="506"/>
      <c r="AK114" s="506"/>
      <c r="AL114" s="506"/>
      <c r="AM114" s="506"/>
      <c r="AN114" s="506"/>
      <c r="AO114" s="506"/>
      <c r="AP114" s="506"/>
      <c r="AQ114" s="506"/>
      <c r="AR114" s="506"/>
      <c r="AS114" s="506"/>
      <c r="AT114" s="506"/>
      <c r="AU114" s="506"/>
      <c r="AV114" s="506"/>
      <c r="AW114" s="506"/>
      <c r="AX114" s="506"/>
      <c r="AY114" s="506"/>
      <c r="AZ114" s="506"/>
      <c r="BA114" s="506"/>
      <c r="BB114" s="506"/>
      <c r="BC114" s="506"/>
      <c r="BD114" s="506"/>
      <c r="BE114" s="506"/>
      <c r="BF114" s="506"/>
    </row>
    <row r="115" spans="1:58" s="317" customFormat="1" ht="24" customHeight="1" x14ac:dyDescent="0.2">
      <c r="A115" s="859"/>
      <c r="B115" s="850" t="s">
        <v>162</v>
      </c>
      <c r="C115" s="851"/>
      <c r="D115" s="851"/>
      <c r="E115" s="851"/>
      <c r="F115" s="851"/>
      <c r="G115" s="852"/>
      <c r="H115" s="848" t="s">
        <v>144</v>
      </c>
      <c r="I115" s="508"/>
      <c r="J115" s="15"/>
      <c r="K115" s="336"/>
      <c r="L115" s="336"/>
      <c r="M115" s="336"/>
      <c r="N115" s="336"/>
      <c r="O115" s="336"/>
      <c r="P115" s="336"/>
      <c r="Q115" s="336"/>
      <c r="R115" s="336"/>
      <c r="S115" s="336"/>
      <c r="T115" s="336"/>
      <c r="U115" s="336"/>
      <c r="V115" s="336"/>
      <c r="W115" s="336"/>
      <c r="X115" s="336"/>
      <c r="Y115" s="336"/>
      <c r="Z115" s="336"/>
      <c r="AA115" s="336"/>
      <c r="AB115" s="336"/>
      <c r="AC115" s="336"/>
      <c r="AD115" s="336"/>
      <c r="AE115" s="336"/>
      <c r="AF115" s="336"/>
      <c r="AG115" s="506"/>
      <c r="AH115" s="506"/>
      <c r="AI115" s="506"/>
      <c r="AJ115" s="506"/>
      <c r="AK115" s="506"/>
      <c r="AL115" s="506"/>
      <c r="AM115" s="506"/>
      <c r="AN115" s="506"/>
      <c r="AO115" s="506"/>
      <c r="AP115" s="506"/>
      <c r="AQ115" s="506"/>
      <c r="AR115" s="506"/>
      <c r="AS115" s="506"/>
      <c r="AT115" s="506"/>
      <c r="AU115" s="506"/>
      <c r="AV115" s="506"/>
      <c r="AW115" s="506"/>
      <c r="AX115" s="506"/>
      <c r="AY115" s="506"/>
      <c r="AZ115" s="506"/>
      <c r="BA115" s="506"/>
      <c r="BB115" s="506"/>
      <c r="BC115" s="506"/>
      <c r="BD115" s="506"/>
      <c r="BE115" s="506"/>
      <c r="BF115" s="506"/>
    </row>
    <row r="116" spans="1:58" s="317" customFormat="1" ht="27.75" customHeight="1" x14ac:dyDescent="0.2">
      <c r="A116" s="859"/>
      <c r="B116" s="367" t="s">
        <v>205</v>
      </c>
      <c r="C116" s="379" t="str">
        <f>Linear!E46</f>
        <v>Continue to the next page</v>
      </c>
      <c r="D116" s="380" t="s">
        <v>113</v>
      </c>
      <c r="E116" s="381"/>
      <c r="F116" s="381"/>
      <c r="G116" s="382"/>
      <c r="H116" s="849"/>
      <c r="I116" s="508"/>
      <c r="J116" s="15"/>
      <c r="K116" s="336"/>
      <c r="L116" s="336"/>
      <c r="M116" s="336"/>
      <c r="N116" s="336"/>
      <c r="O116" s="336"/>
      <c r="P116" s="336"/>
      <c r="Q116" s="336"/>
      <c r="R116" s="336"/>
      <c r="S116" s="336"/>
      <c r="T116" s="336"/>
      <c r="U116" s="336"/>
      <c r="V116" s="336"/>
      <c r="W116" s="336"/>
      <c r="X116" s="336"/>
      <c r="Y116" s="336"/>
      <c r="Z116" s="336"/>
      <c r="AA116" s="336"/>
      <c r="AB116" s="336"/>
      <c r="AC116" s="336"/>
      <c r="AD116" s="336"/>
      <c r="AE116" s="336"/>
      <c r="AF116" s="336"/>
      <c r="AG116" s="506"/>
      <c r="AH116" s="506"/>
      <c r="AI116" s="506"/>
      <c r="AJ116" s="506"/>
      <c r="AK116" s="506"/>
      <c r="AL116" s="506"/>
      <c r="AM116" s="506"/>
      <c r="AN116" s="506"/>
      <c r="AO116" s="506"/>
      <c r="AP116" s="506"/>
      <c r="AQ116" s="506"/>
      <c r="AR116" s="506"/>
      <c r="AS116" s="506"/>
      <c r="AT116" s="506"/>
      <c r="AU116" s="506"/>
      <c r="AV116" s="506"/>
      <c r="AW116" s="506"/>
      <c r="AX116" s="506"/>
      <c r="AY116" s="506"/>
      <c r="AZ116" s="506"/>
      <c r="BA116" s="506"/>
      <c r="BB116" s="506"/>
      <c r="BC116" s="506"/>
      <c r="BD116" s="506"/>
      <c r="BE116" s="506"/>
      <c r="BF116" s="506"/>
    </row>
    <row r="117" spans="1:58" s="317" customFormat="1" ht="54.75" customHeight="1" x14ac:dyDescent="0.2">
      <c r="A117" s="859"/>
      <c r="B117" s="879" t="s">
        <v>209</v>
      </c>
      <c r="C117" s="876">
        <f>MIN(160,(SUM(Linear!$F$47:$F$51)))</f>
        <v>0</v>
      </c>
      <c r="D117" s="873">
        <v>160</v>
      </c>
      <c r="E117" s="901">
        <f>(C117/D117)</f>
        <v>0</v>
      </c>
      <c r="F117" s="366" t="str">
        <f>IF(Linear!E47="Always","Dry stone walls or earth banks are ALWAYS maintained.",IF(AND(Linear!E47="Often"),"Dry stone walls or earth banks are OFTEN maintained.",IF(AND(Linear!E47="Sometimes"),"Dry stone walls or earth banks are SOMETIMES maintained. Consider maintaining dry stone walls or earth banks.",IF(AND(Linear!E47="Rarely"),"Dry stone walls or earth banks are RARELY maintained. Consider maintaining dry stone walls or earth banks.",IF(AND(Linear!E47="Never"),"Dry stone walls or earth banks are NEVER maintained. Consider maintaining dry stone walls or earth banks.",IF(AND(Linear!E47="N/A"),"No dry stone walls or earth banks/brus are present",IF(AND(Linear!E46="Continue to the next page"),"Not Present",IF(AND(Linear!E47="")," "))))))))</f>
        <v>Not Present</v>
      </c>
      <c r="G117" s="855" t="str">
        <f>IF(C117=160,"Maximum score Achieved",IF(AND(C116="Continue to the next page"),"No other field boundaries present","Consider always implementing the practices that will enhance the biodiversity of dry stone walls.
Please see those highlighted in red to the left."))</f>
        <v>No other field boundaries present</v>
      </c>
      <c r="H117" s="499"/>
      <c r="I117" s="508"/>
      <c r="J117" s="15"/>
      <c r="K117" s="336"/>
      <c r="L117" s="336"/>
      <c r="M117" s="336"/>
      <c r="N117" s="336"/>
      <c r="O117" s="336"/>
      <c r="P117" s="336"/>
      <c r="Q117" s="336"/>
      <c r="R117" s="336"/>
      <c r="S117" s="336"/>
      <c r="T117" s="336"/>
      <c r="U117" s="336"/>
      <c r="V117" s="336"/>
      <c r="W117" s="336"/>
      <c r="X117" s="336"/>
      <c r="Y117" s="336"/>
      <c r="Z117" s="336"/>
      <c r="AA117" s="336"/>
      <c r="AB117" s="336"/>
      <c r="AC117" s="336"/>
      <c r="AD117" s="336"/>
      <c r="AE117" s="336"/>
      <c r="AF117" s="336"/>
      <c r="AG117" s="506"/>
      <c r="AH117" s="506"/>
      <c r="AI117" s="506"/>
      <c r="AJ117" s="506"/>
      <c r="AK117" s="506"/>
      <c r="AL117" s="506"/>
      <c r="AM117" s="506"/>
      <c r="AN117" s="506"/>
      <c r="AO117" s="506"/>
      <c r="AP117" s="506"/>
      <c r="AQ117" s="506"/>
      <c r="AR117" s="506"/>
      <c r="AS117" s="506"/>
      <c r="AT117" s="506"/>
      <c r="AU117" s="506"/>
      <c r="AV117" s="506"/>
      <c r="AW117" s="506"/>
      <c r="AX117" s="506"/>
      <c r="AY117" s="506"/>
      <c r="AZ117" s="506"/>
      <c r="BA117" s="506"/>
      <c r="BB117" s="506"/>
      <c r="BC117" s="506"/>
      <c r="BD117" s="506"/>
      <c r="BE117" s="506"/>
      <c r="BF117" s="506"/>
    </row>
    <row r="118" spans="1:58" s="317" customFormat="1" ht="70.5" customHeight="1" x14ac:dyDescent="0.2">
      <c r="A118" s="859"/>
      <c r="B118" s="880"/>
      <c r="C118" s="877"/>
      <c r="D118" s="874"/>
      <c r="E118" s="831"/>
      <c r="F118" s="366" t="str">
        <f>IF(Linear!E48="Always","Work to repair stone walls and any removal of stone piles is ALWAYS undertaken in the spring and summer, outside of hibernation periods for wildlife.",IF(AND(Linear!E48="Often"),"Work to repair stone walls and any removal of stone piles is OFTEN undertaken in the spring and summer, outside of hibernation periods for wildlife.",IF(AND(Linear!E48="Sometimes"),"Work to repair stone walls and any removal of stone piles is SOMETIMES undertaken in the spring and summer, outside of hibernation periods for wildlife.",IF(AND(Linear!E48="Rarely"),"Work to repair stone walls and any removal of stone piles is RARELY undertaken in the spring and summer, outside of hibernation periods for wildlife.",IF(AND(Linear!E48="Never"),"Work to repair stone walls and any removal of stone piles is NEVER undertaken in the spring and summer, outside of hibernation periods for wildlife.",IF(AND(Linear!E48="N/A"),"No dry stone walls or earth banks/brus are present",IF(AND(Linear!E46="Continue to the next page"),"Not Present",IF(AND(Linear!E48="")," "))))))))</f>
        <v>Not Present</v>
      </c>
      <c r="G118" s="856"/>
      <c r="H118" s="499"/>
      <c r="I118" s="508"/>
      <c r="J118" s="15"/>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506"/>
      <c r="AH118" s="506"/>
      <c r="AI118" s="506"/>
      <c r="AJ118" s="506"/>
      <c r="AK118" s="506"/>
      <c r="AL118" s="506"/>
      <c r="AM118" s="506"/>
      <c r="AN118" s="506"/>
      <c r="AO118" s="506"/>
      <c r="AP118" s="506"/>
      <c r="AQ118" s="506"/>
      <c r="AR118" s="506"/>
      <c r="AS118" s="506"/>
      <c r="AT118" s="506"/>
      <c r="AU118" s="506"/>
      <c r="AV118" s="506"/>
      <c r="AW118" s="506"/>
      <c r="AX118" s="506"/>
      <c r="AY118" s="506"/>
      <c r="AZ118" s="506"/>
      <c r="BA118" s="506"/>
      <c r="BB118" s="506"/>
      <c r="BC118" s="506"/>
      <c r="BD118" s="506"/>
      <c r="BE118" s="506"/>
      <c r="BF118" s="506"/>
    </row>
    <row r="119" spans="1:58" s="317" customFormat="1" ht="54.75" customHeight="1" x14ac:dyDescent="0.2">
      <c r="A119" s="859"/>
      <c r="B119" s="880"/>
      <c r="C119" s="877"/>
      <c r="D119" s="874"/>
      <c r="E119" s="831"/>
      <c r="F119" s="366" t="str">
        <f>IF(Linear!E49="Always","Management of shrubs and trees that may damage the dry stone wall is ALWAYS undertaken every few years, during autumn and winter.",IF(AND(Linear!E49="Often"),"Management of shrubs and trees that may damage the dry stone wall is OFTEN undertaken every few years, during autumn and winter.",IF(AND(Linear!E49="Sometimes"),"Management of shrubs and trees that may damage the dry stone wall is SOMETIMES undertaken every few years, during autumn and winter.",IF(AND(Linear!E49="Rarely"),"Management of shrubs and trees that may damage the dry stone wall is RARELY undertaken every few years, during autumn and winter.",IF(AND(Linear!E49="Never"),"Management of shrubs and trees that may damage the dry stone wall is NEVER undertaken every few years, during autumn and winter.",IF(AND(Linear!E49="N/A"),"No dry stone walls or earth banks/brus are present",IF(AND(Linear!E46="Continue to the next page"),"Not Present",IF(AND(Linear!E49="")," "))))))))</f>
        <v>Not Present</v>
      </c>
      <c r="G119" s="856"/>
      <c r="H119" s="499"/>
      <c r="I119" s="508"/>
      <c r="J119" s="15"/>
      <c r="K119" s="336"/>
      <c r="L119" s="336"/>
      <c r="M119" s="336"/>
      <c r="N119" s="336"/>
      <c r="O119" s="336"/>
      <c r="P119" s="336"/>
      <c r="Q119" s="336"/>
      <c r="R119" s="336"/>
      <c r="S119" s="336"/>
      <c r="T119" s="336"/>
      <c r="U119" s="336"/>
      <c r="V119" s="336"/>
      <c r="W119" s="336"/>
      <c r="X119" s="336"/>
      <c r="Y119" s="336"/>
      <c r="Z119" s="336"/>
      <c r="AA119" s="336"/>
      <c r="AB119" s="336"/>
      <c r="AC119" s="336"/>
      <c r="AD119" s="336"/>
      <c r="AE119" s="336"/>
      <c r="AF119" s="336"/>
      <c r="AG119" s="506"/>
      <c r="AH119" s="506"/>
      <c r="AI119" s="506"/>
      <c r="AJ119" s="506"/>
      <c r="AK119" s="506"/>
      <c r="AL119" s="506"/>
      <c r="AM119" s="506"/>
      <c r="AN119" s="506"/>
      <c r="AO119" s="506"/>
      <c r="AP119" s="506"/>
      <c r="AQ119" s="506"/>
      <c r="AR119" s="506"/>
      <c r="AS119" s="506"/>
      <c r="AT119" s="506"/>
      <c r="AU119" s="506"/>
      <c r="AV119" s="506"/>
      <c r="AW119" s="506"/>
      <c r="AX119" s="506"/>
      <c r="AY119" s="506"/>
      <c r="AZ119" s="506"/>
      <c r="BA119" s="506"/>
      <c r="BB119" s="506"/>
      <c r="BC119" s="506"/>
      <c r="BD119" s="506"/>
      <c r="BE119" s="506"/>
      <c r="BF119" s="506"/>
    </row>
    <row r="120" spans="1:58" s="317" customFormat="1" ht="37.5" customHeight="1" x14ac:dyDescent="0.2">
      <c r="A120" s="859"/>
      <c r="B120" s="880"/>
      <c r="C120" s="877"/>
      <c r="D120" s="874"/>
      <c r="E120" s="831"/>
      <c r="F120" s="366" t="str">
        <f>Linear!E50&amp;" - "&amp;Linear!D50</f>
        <v xml:space="preserve"> - </v>
      </c>
      <c r="G120" s="856"/>
      <c r="H120" s="499"/>
      <c r="I120" s="508"/>
      <c r="J120" s="505"/>
      <c r="K120" s="336"/>
      <c r="L120" s="336"/>
      <c r="M120" s="336"/>
      <c r="N120" s="336"/>
      <c r="O120" s="336"/>
      <c r="P120" s="336"/>
      <c r="Q120" s="336"/>
      <c r="R120" s="336"/>
      <c r="S120" s="336"/>
      <c r="T120" s="336"/>
      <c r="U120" s="336"/>
      <c r="V120" s="336"/>
      <c r="W120" s="336"/>
      <c r="X120" s="336"/>
      <c r="Y120" s="336"/>
      <c r="Z120" s="336"/>
      <c r="AA120" s="336"/>
      <c r="AB120" s="336"/>
      <c r="AC120" s="336"/>
      <c r="AD120" s="336"/>
      <c r="AE120" s="336"/>
      <c r="AF120" s="336"/>
      <c r="AG120" s="506"/>
      <c r="AH120" s="506"/>
      <c r="AI120" s="506"/>
      <c r="AJ120" s="506"/>
      <c r="AK120" s="506"/>
      <c r="AL120" s="506"/>
      <c r="AM120" s="506"/>
      <c r="AN120" s="506"/>
      <c r="AO120" s="506"/>
      <c r="AP120" s="506"/>
      <c r="AQ120" s="506"/>
      <c r="AR120" s="506"/>
      <c r="AS120" s="506"/>
      <c r="AT120" s="506"/>
      <c r="AU120" s="506"/>
      <c r="AV120" s="506"/>
      <c r="AW120" s="506"/>
      <c r="AX120" s="506"/>
      <c r="AY120" s="506"/>
      <c r="AZ120" s="506"/>
      <c r="BA120" s="506"/>
      <c r="BB120" s="506"/>
      <c r="BC120" s="506"/>
      <c r="BD120" s="506"/>
      <c r="BE120" s="506"/>
      <c r="BF120" s="506"/>
    </row>
    <row r="121" spans="1:58" s="317" customFormat="1" ht="37.5" customHeight="1" thickBot="1" x14ac:dyDescent="0.25">
      <c r="A121" s="860"/>
      <c r="B121" s="881"/>
      <c r="C121" s="878"/>
      <c r="D121" s="875"/>
      <c r="E121" s="902"/>
      <c r="F121" s="366" t="str">
        <f>Linear!E51&amp;" - "&amp;Linear!D51</f>
        <v xml:space="preserve"> - </v>
      </c>
      <c r="G121" s="857"/>
      <c r="H121" s="499"/>
      <c r="I121" s="508"/>
      <c r="J121" s="505"/>
      <c r="K121" s="336"/>
      <c r="L121" s="336"/>
      <c r="M121" s="336"/>
      <c r="N121" s="336"/>
      <c r="O121" s="336"/>
      <c r="P121" s="336"/>
      <c r="Q121" s="336"/>
      <c r="R121" s="336"/>
      <c r="S121" s="336"/>
      <c r="T121" s="336"/>
      <c r="U121" s="336"/>
      <c r="V121" s="336"/>
      <c r="W121" s="336"/>
      <c r="X121" s="336"/>
      <c r="Y121" s="336"/>
      <c r="Z121" s="336"/>
      <c r="AA121" s="336"/>
      <c r="AB121" s="336"/>
      <c r="AC121" s="336"/>
      <c r="AD121" s="336"/>
      <c r="AE121" s="336"/>
      <c r="AF121" s="336"/>
      <c r="AG121" s="506"/>
      <c r="AH121" s="506"/>
      <c r="AI121" s="506"/>
      <c r="AJ121" s="506"/>
      <c r="AK121" s="506"/>
      <c r="AL121" s="506"/>
      <c r="AM121" s="506"/>
      <c r="AN121" s="506"/>
      <c r="AO121" s="506"/>
      <c r="AP121" s="506"/>
      <c r="AQ121" s="506"/>
      <c r="AR121" s="506"/>
      <c r="AS121" s="506"/>
      <c r="AT121" s="506"/>
      <c r="AU121" s="506"/>
      <c r="AV121" s="506"/>
      <c r="AW121" s="506"/>
      <c r="AX121" s="506"/>
      <c r="AY121" s="506"/>
      <c r="AZ121" s="506"/>
      <c r="BA121" s="506"/>
      <c r="BB121" s="506"/>
      <c r="BC121" s="506"/>
      <c r="BD121" s="506"/>
      <c r="BE121" s="506"/>
      <c r="BF121" s="506"/>
    </row>
    <row r="122" spans="1:58" s="317" customFormat="1" ht="40.5" customHeight="1" x14ac:dyDescent="0.2">
      <c r="A122" s="865" t="s">
        <v>374</v>
      </c>
      <c r="B122" s="465" t="s">
        <v>207</v>
      </c>
      <c r="C122" s="466">
        <f>'% Habitat Score'!N78</f>
        <v>0</v>
      </c>
      <c r="D122" s="467"/>
      <c r="E122" s="468"/>
      <c r="F122" s="391"/>
      <c r="G122" s="383"/>
      <c r="H122" s="500"/>
      <c r="I122" s="507"/>
      <c r="J122" s="106"/>
      <c r="K122" s="106"/>
      <c r="L122" s="106"/>
      <c r="M122" s="336"/>
      <c r="N122" s="336"/>
      <c r="O122" s="336"/>
      <c r="P122" s="336"/>
      <c r="Q122" s="336"/>
      <c r="R122" s="336"/>
      <c r="S122" s="336"/>
      <c r="T122" s="336"/>
      <c r="U122" s="336"/>
      <c r="V122" s="336"/>
      <c r="W122" s="336"/>
      <c r="X122" s="336"/>
      <c r="Y122" s="336"/>
      <c r="Z122" s="336"/>
      <c r="AA122" s="336"/>
      <c r="AB122" s="336"/>
      <c r="AC122" s="336"/>
      <c r="AD122" s="336"/>
      <c r="AE122" s="336"/>
      <c r="AF122" s="336"/>
      <c r="AG122" s="506"/>
      <c r="AH122" s="506"/>
      <c r="AI122" s="506"/>
      <c r="AJ122" s="506"/>
      <c r="AK122" s="506"/>
      <c r="AL122" s="506"/>
      <c r="AM122" s="506"/>
      <c r="AN122" s="506"/>
      <c r="AO122" s="506"/>
      <c r="AP122" s="506"/>
      <c r="AQ122" s="506"/>
      <c r="AR122" s="506"/>
      <c r="AS122" s="506"/>
      <c r="AT122" s="506"/>
      <c r="AU122" s="506"/>
      <c r="AV122" s="506"/>
      <c r="AW122" s="506"/>
      <c r="AX122" s="506"/>
      <c r="AY122" s="506"/>
      <c r="AZ122" s="506"/>
      <c r="BA122" s="506"/>
      <c r="BB122" s="506"/>
      <c r="BC122" s="506"/>
      <c r="BD122" s="506"/>
      <c r="BE122" s="506"/>
      <c r="BF122" s="506"/>
    </row>
    <row r="123" spans="1:58" s="317" customFormat="1" ht="40.5" customHeight="1" thickBot="1" x14ac:dyDescent="0.25">
      <c r="A123" s="866"/>
      <c r="B123" s="384" t="s">
        <v>163</v>
      </c>
      <c r="C123" s="385"/>
      <c r="D123" s="386"/>
      <c r="E123" s="387"/>
      <c r="F123" s="469">
        <f>'% Habitat Score'!I79</f>
        <v>0</v>
      </c>
      <c r="G123" s="383"/>
      <c r="H123" s="500"/>
      <c r="I123" s="507"/>
      <c r="J123" s="106"/>
      <c r="K123" s="106"/>
      <c r="L123" s="106"/>
      <c r="M123" s="336"/>
      <c r="N123" s="336"/>
      <c r="O123" s="336"/>
      <c r="P123" s="336"/>
      <c r="Q123" s="336"/>
      <c r="R123" s="336"/>
      <c r="S123" s="336"/>
      <c r="T123" s="336"/>
      <c r="U123" s="336"/>
      <c r="V123" s="336"/>
      <c r="W123" s="336"/>
      <c r="X123" s="336"/>
      <c r="Y123" s="336"/>
      <c r="Z123" s="336"/>
      <c r="AA123" s="336"/>
      <c r="AB123" s="336"/>
      <c r="AC123" s="336"/>
      <c r="AD123" s="336"/>
      <c r="AE123" s="336"/>
      <c r="AF123" s="336"/>
      <c r="AG123" s="506"/>
      <c r="AH123" s="506"/>
      <c r="AI123" s="506"/>
      <c r="AJ123" s="506"/>
      <c r="AK123" s="506"/>
      <c r="AL123" s="506"/>
      <c r="AM123" s="506"/>
      <c r="AN123" s="506"/>
      <c r="AO123" s="506"/>
      <c r="AP123" s="506"/>
      <c r="AQ123" s="506"/>
      <c r="AR123" s="506"/>
      <c r="AS123" s="506"/>
      <c r="AT123" s="506"/>
      <c r="AU123" s="506"/>
      <c r="AV123" s="506"/>
      <c r="AW123" s="506"/>
      <c r="AX123" s="506"/>
      <c r="AY123" s="506"/>
      <c r="AZ123" s="506"/>
      <c r="BA123" s="506"/>
      <c r="BB123" s="506"/>
      <c r="BC123" s="506"/>
      <c r="BD123" s="506"/>
      <c r="BE123" s="506"/>
      <c r="BF123" s="506"/>
    </row>
    <row r="124" spans="1:58" s="317" customFormat="1" ht="97.5" customHeight="1" x14ac:dyDescent="0.2">
      <c r="A124" s="866"/>
      <c r="B124" s="868" t="s">
        <v>208</v>
      </c>
      <c r="C124" s="882">
        <f>MIN(560,SUM(Area!F3:F18))</f>
        <v>0</v>
      </c>
      <c r="D124" s="927">
        <v>560</v>
      </c>
      <c r="E124" s="830">
        <f>(C124/D124)</f>
        <v>0</v>
      </c>
      <c r="F124" s="389" t="b">
        <f>IF(Area!E3="Always","I ALWAYS apply no chemical fertiliser, slurry or lime on non-grassland habitat AND only low rates (&lt; 100kg N/ha) on unimproved grassland.",IF(AND(Area!E3="Often"),"I OFTEN apply no chemical fertiliser, slurry or lime on non-grassland habitat AND only low rates (&lt; 100kg N/ha) on unimproved grassland.",IF(AND(Area!E3="Sometimes"),"Consider reducing your inputs to protect habitats. Apply no chemical fertiliser, slurry or lime on non-grassland habitat AND only low rates (&lt; 100kg N/ha) on unimproved grassland.",IF(AND(Area!E3="Rarely"),"Consider reducing your inputs to protect habitats. Apply no chemical fertiliser, slurry or lime on non-grassland habitat AND only low rates (&lt; 100kg N/ha) on unimproved grassland.",IF(AND(Area!E3="Never"),"Consider reducing your inputs to protect habitats. Apply no chemical fertiliser, slurry or lime on non-grassland habitat AND only low rates (&lt; 100kg N/ha) on unimproved grassland.",IF(AND(Area!E3="N/A"),"The farm does not have areas of non-grassland habitats or areas of unimproved grassland."))))))</f>
        <v>0</v>
      </c>
      <c r="G124" s="883" t="str">
        <f>IF(C124=560,"Maximum score Achieved","Consider always taking the management measures that are linked to semi-natural habitat areas
Please see those highlighted in red to the left.")</f>
        <v>Consider always taking the management measures that are linked to semi-natural habitat areas
Please see those highlighted in red to the left.</v>
      </c>
      <c r="H124" s="861"/>
      <c r="I124" s="434"/>
      <c r="J124" s="106"/>
      <c r="K124" s="106"/>
      <c r="L124" s="106"/>
      <c r="M124" s="336"/>
      <c r="N124" s="336"/>
      <c r="O124" s="336"/>
      <c r="P124" s="336"/>
      <c r="Q124" s="336"/>
      <c r="R124" s="336"/>
      <c r="S124" s="336"/>
      <c r="T124" s="336"/>
      <c r="U124" s="336"/>
      <c r="V124" s="336"/>
      <c r="W124" s="336"/>
      <c r="X124" s="336"/>
      <c r="Y124" s="336"/>
      <c r="Z124" s="336"/>
      <c r="AA124" s="336"/>
      <c r="AB124" s="336"/>
      <c r="AC124" s="336"/>
      <c r="AD124" s="336"/>
      <c r="AE124" s="336"/>
      <c r="AF124" s="336"/>
      <c r="AG124" s="506"/>
      <c r="AH124" s="506"/>
      <c r="AI124" s="506"/>
      <c r="AJ124" s="506"/>
      <c r="AK124" s="506"/>
      <c r="AL124" s="506"/>
      <c r="AM124" s="506"/>
      <c r="AN124" s="506"/>
      <c r="AO124" s="506"/>
      <c r="AP124" s="506"/>
      <c r="AQ124" s="506"/>
      <c r="AR124" s="506"/>
      <c r="AS124" s="506"/>
      <c r="AT124" s="506"/>
      <c r="AU124" s="506"/>
      <c r="AV124" s="506"/>
      <c r="AW124" s="506"/>
      <c r="AX124" s="506"/>
      <c r="AY124" s="506"/>
      <c r="AZ124" s="506"/>
      <c r="BA124" s="506"/>
      <c r="BB124" s="506"/>
      <c r="BC124" s="506"/>
      <c r="BD124" s="506"/>
      <c r="BE124" s="506"/>
      <c r="BF124" s="506"/>
    </row>
    <row r="125" spans="1:58" s="317" customFormat="1" ht="54.75" customHeight="1" x14ac:dyDescent="0.2">
      <c r="A125" s="866"/>
      <c r="B125" s="869"/>
      <c r="C125" s="877"/>
      <c r="D125" s="928"/>
      <c r="E125" s="831"/>
      <c r="F125" s="390" t="b">
        <f>IF(Area!E4="Always","I ALWAYS graze at low stocking rates to maintain the habitat and prevent damage from overgrazing.",IF(AND(Area!E4="Often"),"Consider grazing at low stocking rates to maintain the habitat and prevent damage from overgrazing.",IF(AND(Area!E4="Sometimes"),"Consider grazing at low stocking rates to maintain the habitat and prevent damage from overgrazing.",IF(AND(Area!E4="Rarely"),"Consider grazing at low stocking rates to maintain the habitat and prevent damage from overgrazing.",IF(AND(Area!E4="Never"),"Consider grazing at low stocking rates to maintain the habitat and prevent damage from overgrazing.",IF(AND(Area!E4="N/A"),"The farm does not have have any grazing animals or areas of semi-natural habitat suitable for grazing."))))))</f>
        <v>0</v>
      </c>
      <c r="G125" s="884"/>
      <c r="H125" s="853"/>
      <c r="I125" s="516"/>
      <c r="J125" s="106"/>
      <c r="K125" s="106"/>
      <c r="L125" s="106"/>
      <c r="M125" s="336"/>
      <c r="N125" s="336"/>
      <c r="O125" s="336"/>
      <c r="P125" s="336"/>
      <c r="Q125" s="336"/>
      <c r="R125" s="336"/>
      <c r="S125" s="336"/>
      <c r="T125" s="336"/>
      <c r="U125" s="336"/>
      <c r="V125" s="336"/>
      <c r="W125" s="336"/>
      <c r="X125" s="336"/>
      <c r="Y125" s="336"/>
      <c r="Z125" s="336"/>
      <c r="AA125" s="336"/>
      <c r="AB125" s="336"/>
      <c r="AC125" s="336"/>
      <c r="AD125" s="336"/>
      <c r="AE125" s="336"/>
      <c r="AF125" s="336"/>
      <c r="AG125" s="506"/>
      <c r="AH125" s="506"/>
      <c r="AI125" s="506"/>
      <c r="AJ125" s="506"/>
      <c r="AK125" s="506"/>
      <c r="AL125" s="506"/>
      <c r="AM125" s="506"/>
      <c r="AN125" s="506"/>
      <c r="AO125" s="506"/>
      <c r="AP125" s="506"/>
      <c r="AQ125" s="506"/>
      <c r="AR125" s="506"/>
      <c r="AS125" s="506"/>
      <c r="AT125" s="506"/>
      <c r="AU125" s="506"/>
      <c r="AV125" s="506"/>
      <c r="AW125" s="506"/>
      <c r="AX125" s="506"/>
      <c r="AY125" s="506"/>
      <c r="AZ125" s="506"/>
      <c r="BA125" s="506"/>
      <c r="BB125" s="506"/>
      <c r="BC125" s="506"/>
      <c r="BD125" s="506"/>
      <c r="BE125" s="506"/>
      <c r="BF125" s="506"/>
    </row>
    <row r="126" spans="1:58" s="317" customFormat="1" ht="54.75" customHeight="1" x14ac:dyDescent="0.2">
      <c r="A126" s="866"/>
      <c r="B126" s="869"/>
      <c r="C126" s="877"/>
      <c r="D126" s="928"/>
      <c r="E126" s="831"/>
      <c r="F126" s="391" t="b">
        <f>IF(Area!E5="Always","When cutting for hay, I ALWAYS delay cutting until 15th July to allow meadow species to shed seed.",IF(AND(Area!E5="Often"),"When cutting for hay, consider delaying cutting until 15th July to allow meadow species to shed seed.",IF(AND(Area!E5="Sometimes"),"When cutting for hay, consider delaying cutting until 15th July to allow meadow species to shed seed.",IF(AND(Area!E5="Rarely"),"When cutting for hay, consider delaying cutting until 15th July to allow meadow species to shed seed.",IF(AND(Area!E4="Never"),"When cutting for hay, consider delaying cutting until 15th July to allow meadow species to shed seed.",IF(AND(Area!E5="N/A"),"The farm does not cut any hay."))))))</f>
        <v>0</v>
      </c>
      <c r="G126" s="884"/>
      <c r="H126" s="853"/>
      <c r="I126" s="516"/>
      <c r="J126" s="106"/>
      <c r="K126" s="106"/>
      <c r="L126" s="106"/>
      <c r="M126" s="336"/>
      <c r="N126" s="336"/>
      <c r="O126" s="336"/>
      <c r="P126" s="336"/>
      <c r="Q126" s="336"/>
      <c r="R126" s="336"/>
      <c r="S126" s="336"/>
      <c r="T126" s="336"/>
      <c r="U126" s="336"/>
      <c r="V126" s="336"/>
      <c r="W126" s="336"/>
      <c r="X126" s="336"/>
      <c r="Y126" s="336"/>
      <c r="Z126" s="336"/>
      <c r="AA126" s="336"/>
      <c r="AB126" s="336"/>
      <c r="AC126" s="336"/>
      <c r="AD126" s="336"/>
      <c r="AE126" s="336"/>
      <c r="AF126" s="336"/>
      <c r="AG126" s="506"/>
      <c r="AH126" s="506"/>
      <c r="AI126" s="506"/>
      <c r="AJ126" s="506"/>
      <c r="AK126" s="506"/>
      <c r="AL126" s="506"/>
      <c r="AM126" s="506"/>
      <c r="AN126" s="506"/>
      <c r="AO126" s="506"/>
      <c r="AP126" s="506"/>
      <c r="AQ126" s="506"/>
      <c r="AR126" s="506"/>
      <c r="AS126" s="506"/>
      <c r="AT126" s="506"/>
      <c r="AU126" s="506"/>
      <c r="AV126" s="506"/>
      <c r="AW126" s="506"/>
      <c r="AX126" s="506"/>
      <c r="AY126" s="506"/>
      <c r="AZ126" s="506"/>
      <c r="BA126" s="506"/>
      <c r="BB126" s="506"/>
      <c r="BC126" s="506"/>
      <c r="BD126" s="506"/>
      <c r="BE126" s="506"/>
      <c r="BF126" s="506"/>
    </row>
    <row r="127" spans="1:58" s="317" customFormat="1" ht="54.75" customHeight="1" x14ac:dyDescent="0.2">
      <c r="A127" s="866"/>
      <c r="B127" s="869"/>
      <c r="C127" s="877"/>
      <c r="D127" s="928"/>
      <c r="E127" s="831"/>
      <c r="F127" s="391" t="b">
        <f>IF(Area!E6="Always","I ALWAYS only control noxious weeds by mechanical, hand pulling or spot spraying.",IF(AND(Area!E6="Often"),"Consider only controlling noxious weeds by mechanical hand pulling or spot spraying.",IF(AND(Area!E6="Sometimes"),"Consider only controlling noxious weeds by mechanical hand pulling or spot spraying.",IF(AND(Area!E6="Rarely"),"Consider only controlling noxious weeds by mechanical hand pulling or spot spraying.",IF(AND(Area!E6="Never"),"Consider only controlling noxious weeds by mechanical hand pulling or spot spraying.")))))</f>
        <v>0</v>
      </c>
      <c r="G127" s="884"/>
      <c r="H127" s="853"/>
      <c r="I127" s="518"/>
      <c r="J127" s="106"/>
      <c r="K127" s="106"/>
      <c r="L127" s="106"/>
      <c r="M127" s="336"/>
      <c r="N127" s="336"/>
      <c r="O127" s="336"/>
      <c r="P127" s="336"/>
      <c r="Q127" s="336"/>
      <c r="R127" s="336"/>
      <c r="S127" s="336"/>
      <c r="T127" s="336"/>
      <c r="U127" s="336"/>
      <c r="V127" s="336"/>
      <c r="W127" s="336"/>
      <c r="X127" s="336"/>
      <c r="Y127" s="336"/>
      <c r="Z127" s="336"/>
      <c r="AA127" s="336"/>
      <c r="AB127" s="336"/>
      <c r="AC127" s="336"/>
      <c r="AD127" s="336"/>
      <c r="AE127" s="336"/>
      <c r="AF127" s="336"/>
      <c r="AG127" s="506"/>
      <c r="AH127" s="506"/>
      <c r="AI127" s="506"/>
      <c r="AJ127" s="506"/>
      <c r="AK127" s="506"/>
      <c r="AL127" s="506"/>
      <c r="AM127" s="506"/>
      <c r="AN127" s="506"/>
      <c r="AO127" s="506"/>
      <c r="AP127" s="506"/>
      <c r="AQ127" s="506"/>
      <c r="AR127" s="506"/>
      <c r="AS127" s="506"/>
      <c r="AT127" s="506"/>
      <c r="AU127" s="506"/>
      <c r="AV127" s="506"/>
      <c r="AW127" s="506"/>
      <c r="AX127" s="506"/>
      <c r="AY127" s="506"/>
      <c r="AZ127" s="506"/>
      <c r="BA127" s="506"/>
      <c r="BB127" s="506"/>
      <c r="BC127" s="506"/>
      <c r="BD127" s="506"/>
      <c r="BE127" s="506"/>
      <c r="BF127" s="506"/>
    </row>
    <row r="128" spans="1:58" s="317" customFormat="1" ht="54.75" customHeight="1" x14ac:dyDescent="0.2">
      <c r="A128" s="866"/>
      <c r="B128" s="869"/>
      <c r="C128" s="877"/>
      <c r="D128" s="928"/>
      <c r="E128" s="831"/>
      <c r="F128" s="391" t="b">
        <f>IF(Area!E7="Always","I ALWAYS control soft rush, scrub and bracken as required to protect and enhance the habitat.",IF(AND(Area!E7="Often"),"Consider controlling soft rush, scrub and bracken as required to protect and enhance the habitat.",IF(AND(Area!E7="Sometimes"),"Consider controlling soft rush, scrub and bracken as required to protect and enhance the habitat.",IF(AND(Area!E7="Rarely"),"Consider controlling soft rush, scrub and bracken as required to protect and enhance the habitat.",IF(AND(Area!E7="Never"),"Consider controlling soft rush, scrub and bracken as required to protect and enhance the habitat.",IF(AND(Area!E7="N/A"),"The farm does not have areas of soft rush, scrub or bracken."))))))</f>
        <v>0</v>
      </c>
      <c r="G128" s="884"/>
      <c r="H128" s="853"/>
      <c r="I128" s="518"/>
      <c r="J128" s="106"/>
      <c r="K128" s="106"/>
      <c r="L128" s="106"/>
      <c r="M128" s="336"/>
      <c r="N128" s="336"/>
      <c r="O128" s="336"/>
      <c r="P128" s="336"/>
      <c r="Q128" s="336"/>
      <c r="R128" s="336"/>
      <c r="S128" s="336"/>
      <c r="T128" s="336"/>
      <c r="U128" s="336"/>
      <c r="V128" s="336"/>
      <c r="W128" s="336"/>
      <c r="X128" s="336"/>
      <c r="Y128" s="336"/>
      <c r="Z128" s="336"/>
      <c r="AA128" s="336"/>
      <c r="AB128" s="336"/>
      <c r="AC128" s="336"/>
      <c r="AD128" s="336"/>
      <c r="AE128" s="336"/>
      <c r="AF128" s="336"/>
      <c r="AG128" s="506"/>
      <c r="AH128" s="506"/>
      <c r="AI128" s="506"/>
      <c r="AJ128" s="506"/>
      <c r="AK128" s="506"/>
      <c r="AL128" s="506"/>
      <c r="AM128" s="506"/>
      <c r="AN128" s="506"/>
      <c r="AO128" s="506"/>
      <c r="AP128" s="506"/>
      <c r="AQ128" s="506"/>
      <c r="AR128" s="506"/>
      <c r="AS128" s="506"/>
      <c r="AT128" s="506"/>
      <c r="AU128" s="506"/>
      <c r="AV128" s="506"/>
      <c r="AW128" s="506"/>
      <c r="AX128" s="506"/>
      <c r="AY128" s="506"/>
      <c r="AZ128" s="506"/>
      <c r="BA128" s="506"/>
      <c r="BB128" s="506"/>
      <c r="BC128" s="506"/>
      <c r="BD128" s="506"/>
      <c r="BE128" s="506"/>
      <c r="BF128" s="506"/>
    </row>
    <row r="129" spans="1:58" s="317" customFormat="1" ht="69" customHeight="1" x14ac:dyDescent="0.2">
      <c r="A129" s="866"/>
      <c r="B129" s="869"/>
      <c r="C129" s="877"/>
      <c r="D129" s="928"/>
      <c r="E129" s="831"/>
      <c r="F129" s="391" t="b">
        <f>IF(Area!E8="Always","I ALWAYS control non-native invasive species (eg. giant hogweed, Japanese knotweed or Himalayan balsam) as required to protect and enhance the habitat.",IF(AND(Area!E8="Often"),"Consider controlling non-native invasive species (e.g. giant hogweed, Japanese knotweed or Himalayan balsam) as required to protect and enhance the habitat.",IF(AND(Area!E8="Sometimes"),"Consider controlling non-native invasive species (e.g. giant hogweed, Japanese knotweed or Himalayan balsam) as required to protect and enhance the habitat.",IF(AND(Area!E8="Rarely"),"Consider controlling non-native invasive species (e.g. giant hogweed, Japanese knotweed or Himalayan balsam) as required to protect and enhance the habitat.",IF(AND(Area!E8="Never"),"Consider controlling non-native invasive species (e.g. giant hogweed, Japanese knotweed or Himalayan balsam) as required to protect and enhance the habitat.",IF(AND(Area!E8="N/A"),"The farm does not have areas of non-native invasive species."))))))</f>
        <v>0</v>
      </c>
      <c r="G129" s="884"/>
      <c r="H129" s="853"/>
      <c r="I129" s="518"/>
      <c r="J129" s="106"/>
      <c r="K129" s="106"/>
      <c r="L129" s="106"/>
      <c r="M129" s="336"/>
      <c r="N129" s="336"/>
      <c r="O129" s="336"/>
      <c r="P129" s="336"/>
      <c r="Q129" s="336"/>
      <c r="R129" s="336"/>
      <c r="S129" s="336"/>
      <c r="T129" s="336"/>
      <c r="U129" s="336"/>
      <c r="V129" s="336"/>
      <c r="W129" s="336"/>
      <c r="X129" s="336"/>
      <c r="Y129" s="336"/>
      <c r="Z129" s="336"/>
      <c r="AA129" s="336"/>
      <c r="AB129" s="336"/>
      <c r="AC129" s="336"/>
      <c r="AD129" s="336"/>
      <c r="AE129" s="336"/>
      <c r="AF129" s="336"/>
      <c r="AG129" s="506"/>
      <c r="AH129" s="506"/>
      <c r="AI129" s="506"/>
      <c r="AJ129" s="506"/>
      <c r="AK129" s="506"/>
      <c r="AL129" s="506"/>
      <c r="AM129" s="506"/>
      <c r="AN129" s="506"/>
      <c r="AO129" s="506"/>
      <c r="AP129" s="506"/>
      <c r="AQ129" s="506"/>
      <c r="AR129" s="506"/>
      <c r="AS129" s="506"/>
      <c r="AT129" s="506"/>
      <c r="AU129" s="506"/>
      <c r="AV129" s="506"/>
      <c r="AW129" s="506"/>
      <c r="AX129" s="506"/>
      <c r="AY129" s="506"/>
      <c r="AZ129" s="506"/>
      <c r="BA129" s="506"/>
      <c r="BB129" s="506"/>
      <c r="BC129" s="506"/>
      <c r="BD129" s="506"/>
      <c r="BE129" s="506"/>
      <c r="BF129" s="506"/>
    </row>
    <row r="130" spans="1:58" s="317" customFormat="1" ht="54.75" customHeight="1" x14ac:dyDescent="0.2">
      <c r="A130" s="866"/>
      <c r="B130" s="869"/>
      <c r="C130" s="877"/>
      <c r="D130" s="928"/>
      <c r="E130" s="831"/>
      <c r="F130" s="391" t="b">
        <f>IF(Area!E9="Always","Semi-natural habitat land is ALWAYS left uncultivated.",IF(AND(Area!E9="Often"),"Consider leaving semi-natural habitat land uncultivated.",IF(AND(Area!E9="Sometimes"),"Consider leaving semi-natural habitat land uncultivated.",IF(AND(Area!E9="Rarely"),"Consider leaving semi-natural habitat land uncultivated.",IF(AND(Area!E9="Never"),"Consider leaving semi-natural habitat land uncultivated.")))))</f>
        <v>0</v>
      </c>
      <c r="G130" s="884"/>
      <c r="H130" s="853"/>
      <c r="I130" s="518"/>
      <c r="J130" s="106"/>
      <c r="K130" s="106"/>
      <c r="L130" s="106"/>
      <c r="M130" s="336"/>
      <c r="N130" s="336"/>
      <c r="O130" s="336"/>
      <c r="P130" s="336"/>
      <c r="Q130" s="336"/>
      <c r="R130" s="336"/>
      <c r="S130" s="336"/>
      <c r="T130" s="336"/>
      <c r="U130" s="336"/>
      <c r="V130" s="336"/>
      <c r="W130" s="336"/>
      <c r="X130" s="336"/>
      <c r="Y130" s="336"/>
      <c r="Z130" s="336"/>
      <c r="AA130" s="336"/>
      <c r="AB130" s="336"/>
      <c r="AC130" s="336"/>
      <c r="AD130" s="336"/>
      <c r="AE130" s="336"/>
      <c r="AF130" s="336"/>
      <c r="AG130" s="506"/>
      <c r="AH130" s="506"/>
      <c r="AI130" s="506"/>
      <c r="AJ130" s="506"/>
      <c r="AK130" s="506"/>
      <c r="AL130" s="506"/>
      <c r="AM130" s="506"/>
      <c r="AN130" s="506"/>
      <c r="AO130" s="506"/>
      <c r="AP130" s="506"/>
      <c r="AQ130" s="506"/>
      <c r="AR130" s="506"/>
      <c r="AS130" s="506"/>
      <c r="AT130" s="506"/>
      <c r="AU130" s="506"/>
      <c r="AV130" s="506"/>
      <c r="AW130" s="506"/>
      <c r="AX130" s="506"/>
      <c r="AY130" s="506"/>
      <c r="AZ130" s="506"/>
      <c r="BA130" s="506"/>
      <c r="BB130" s="506"/>
      <c r="BC130" s="506"/>
      <c r="BD130" s="506"/>
      <c r="BE130" s="506"/>
      <c r="BF130" s="506"/>
    </row>
    <row r="131" spans="1:58" s="317" customFormat="1" ht="54.75" customHeight="1" x14ac:dyDescent="0.2">
      <c r="A131" s="866"/>
      <c r="B131" s="869"/>
      <c r="C131" s="877"/>
      <c r="D131" s="928"/>
      <c r="E131" s="831"/>
      <c r="F131" s="391" t="b">
        <f>IF(Area!E10="Always","When supplementary feeders have to be used they are ALWAYS moved regularly.",IF(AND(Area!E10="Often"),"When using supplementary feeders, consider moving them regularly.",IF(AND(Area!E10="Sometimes"),"When using supplementary feeders, consider moving them regularly.",IF(AND(Area!E10="Rarely"),"When using supplementary feeders, consider moving them regularly.",IF(AND(Area!E10="Never"),"When using supplementary feeders, consider moving them regularly.",IF(AND(Area!E10="N/A"),"The farm does not use supplementary feeders."))))))</f>
        <v>0</v>
      </c>
      <c r="G131" s="884"/>
      <c r="H131" s="853"/>
      <c r="I131" s="518"/>
      <c r="J131" s="106"/>
      <c r="K131" s="106"/>
      <c r="L131" s="106"/>
      <c r="M131" s="336"/>
      <c r="N131" s="336"/>
      <c r="O131" s="336"/>
      <c r="P131" s="336"/>
      <c r="Q131" s="336"/>
      <c r="R131" s="336"/>
      <c r="S131" s="336"/>
      <c r="T131" s="336"/>
      <c r="U131" s="336"/>
      <c r="V131" s="336"/>
      <c r="W131" s="336"/>
      <c r="X131" s="336"/>
      <c r="Y131" s="336"/>
      <c r="Z131" s="336"/>
      <c r="AA131" s="336"/>
      <c r="AB131" s="336"/>
      <c r="AC131" s="336"/>
      <c r="AD131" s="336"/>
      <c r="AE131" s="336"/>
      <c r="AF131" s="336"/>
      <c r="AG131" s="506"/>
      <c r="AH131" s="506"/>
      <c r="AI131" s="506"/>
      <c r="AJ131" s="506"/>
      <c r="AK131" s="506"/>
      <c r="AL131" s="506"/>
      <c r="AM131" s="506"/>
      <c r="AN131" s="506"/>
      <c r="AO131" s="506"/>
      <c r="AP131" s="506"/>
      <c r="AQ131" s="506"/>
      <c r="AR131" s="506"/>
      <c r="AS131" s="506"/>
      <c r="AT131" s="506"/>
      <c r="AU131" s="506"/>
      <c r="AV131" s="506"/>
      <c r="AW131" s="506"/>
      <c r="AX131" s="506"/>
      <c r="AY131" s="506"/>
      <c r="AZ131" s="506"/>
      <c r="BA131" s="506"/>
      <c r="BB131" s="506"/>
      <c r="BC131" s="506"/>
      <c r="BD131" s="506"/>
      <c r="BE131" s="506"/>
      <c r="BF131" s="506"/>
    </row>
    <row r="132" spans="1:58" s="317" customFormat="1" ht="54.75" customHeight="1" x14ac:dyDescent="0.2">
      <c r="A132" s="866"/>
      <c r="B132" s="869"/>
      <c r="C132" s="877"/>
      <c r="D132" s="928"/>
      <c r="E132" s="831"/>
      <c r="F132" s="391" t="b">
        <f>IF(Area!E11="Always","I ALWAYS protect non-wooded habitat areas by not planting trees and/or shrubs.",IF(AND(Area!E11="Often"),"Consider protecting non-wooded habitat areas by not planting trees and/or shrubs.",IF(AND(Area!E11="Sometimes"),"Consider protecting non-wooded habitat areas by not planting trees and/or shrubs.",IF(AND(Area!E11="Rarely"),"Consider protecting non-wooded habitat areas by not planting trees and/or shrubs.",IF(AND(Area!E11="Never"),"Consider protecting non-wooded habitat areas by not planting trees and/or shrubs.",IF(AND(Area!E11="N/A"),"The farm does not have areas of non-wooded habitat."))))))</f>
        <v>0</v>
      </c>
      <c r="G132" s="884"/>
      <c r="H132" s="853"/>
      <c r="I132" s="518"/>
      <c r="J132" s="106"/>
      <c r="K132" s="106"/>
      <c r="L132" s="106"/>
      <c r="M132" s="336"/>
      <c r="N132" s="336"/>
      <c r="O132" s="336"/>
      <c r="P132" s="336"/>
      <c r="Q132" s="336"/>
      <c r="R132" s="336"/>
      <c r="S132" s="336"/>
      <c r="T132" s="336"/>
      <c r="U132" s="336"/>
      <c r="V132" s="336"/>
      <c r="W132" s="336"/>
      <c r="X132" s="336"/>
      <c r="Y132" s="336"/>
      <c r="Z132" s="336"/>
      <c r="AA132" s="336"/>
      <c r="AB132" s="336"/>
      <c r="AC132" s="336"/>
      <c r="AD132" s="336"/>
      <c r="AE132" s="336"/>
      <c r="AF132" s="336"/>
      <c r="AG132" s="506"/>
      <c r="AH132" s="506"/>
      <c r="AI132" s="506"/>
      <c r="AJ132" s="506"/>
      <c r="AK132" s="506"/>
      <c r="AL132" s="506"/>
      <c r="AM132" s="506"/>
      <c r="AN132" s="506"/>
      <c r="AO132" s="506"/>
      <c r="AP132" s="506"/>
      <c r="AQ132" s="506"/>
      <c r="AR132" s="506"/>
      <c r="AS132" s="506"/>
      <c r="AT132" s="506"/>
      <c r="AU132" s="506"/>
      <c r="AV132" s="506"/>
      <c r="AW132" s="506"/>
      <c r="AX132" s="506"/>
      <c r="AY132" s="506"/>
      <c r="AZ132" s="506"/>
      <c r="BA132" s="506"/>
      <c r="BB132" s="506"/>
      <c r="BC132" s="506"/>
      <c r="BD132" s="506"/>
      <c r="BE132" s="506"/>
      <c r="BF132" s="506"/>
    </row>
    <row r="133" spans="1:58" s="317" customFormat="1" ht="54.75" customHeight="1" x14ac:dyDescent="0.2">
      <c r="A133" s="866"/>
      <c r="B133" s="869"/>
      <c r="C133" s="877"/>
      <c r="D133" s="928"/>
      <c r="E133" s="831"/>
      <c r="F133" s="391" t="b">
        <f>IF(Area!E12="Always","I ALWAYS protect the habitat area by not storing or dumping wastes, manures, baled silage or other harmful materials on area.",IF(AND(Area!E12="Often"),"Consider protecting the habitat area by not storing or dumping wastes, manures, baled silage or other harmful materials on area.",IF(AND(Area!E12="Sometimes"),"Consider protecting the habitat area by not storing or dumping wastes, manures, baled silage or other harmful materials on area.",IF(AND(Area!E12="Rarely"),"Consider protecting the habitat area by not storing or dumping wastes, manures, baled silage or other harmful materials on area.",IF(AND(Area!E12="Never"),"Consider protecting the habitat area by not storing or dumping wastes, manures, baled silage or other harmful materials on area.")))))</f>
        <v>0</v>
      </c>
      <c r="G133" s="884"/>
      <c r="H133" s="853"/>
      <c r="I133" s="518"/>
      <c r="J133" s="106"/>
      <c r="K133" s="106"/>
      <c r="L133" s="106"/>
      <c r="M133" s="336"/>
      <c r="N133" s="336"/>
      <c r="O133" s="336"/>
      <c r="P133" s="336"/>
      <c r="Q133" s="336"/>
      <c r="R133" s="336"/>
      <c r="S133" s="336"/>
      <c r="T133" s="336"/>
      <c r="U133" s="336"/>
      <c r="V133" s="336"/>
      <c r="W133" s="336"/>
      <c r="X133" s="336"/>
      <c r="Y133" s="336"/>
      <c r="Z133" s="336"/>
      <c r="AA133" s="336"/>
      <c r="AB133" s="336"/>
      <c r="AC133" s="336"/>
      <c r="AD133" s="336"/>
      <c r="AE133" s="336"/>
      <c r="AF133" s="336"/>
      <c r="AG133" s="506"/>
      <c r="AH133" s="506"/>
      <c r="AI133" s="506"/>
      <c r="AJ133" s="506"/>
      <c r="AK133" s="506"/>
      <c r="AL133" s="506"/>
      <c r="AM133" s="506"/>
      <c r="AN133" s="506"/>
      <c r="AO133" s="506"/>
      <c r="AP133" s="506"/>
      <c r="AQ133" s="506"/>
      <c r="AR133" s="506"/>
      <c r="AS133" s="506"/>
      <c r="AT133" s="506"/>
      <c r="AU133" s="506"/>
      <c r="AV133" s="506"/>
      <c r="AW133" s="506"/>
      <c r="AX133" s="506"/>
      <c r="AY133" s="506"/>
      <c r="AZ133" s="506"/>
      <c r="BA133" s="506"/>
      <c r="BB133" s="506"/>
      <c r="BC133" s="506"/>
      <c r="BD133" s="506"/>
      <c r="BE133" s="506"/>
      <c r="BF133" s="506"/>
    </row>
    <row r="134" spans="1:58" s="317" customFormat="1" ht="54.75" customHeight="1" x14ac:dyDescent="0.2">
      <c r="A134" s="866"/>
      <c r="B134" s="869"/>
      <c r="C134" s="877"/>
      <c r="D134" s="928"/>
      <c r="E134" s="831"/>
      <c r="F134" s="391" t="b">
        <f>IF(Area!E13="Always","I ALWAYS protect the habitat area by not cutting turf mechanically.",IF(AND(Area!E13="Often"),"Consider protecting the habitat by not cutting turf mechanically.",IF(AND(Area!E13="Sometimes"),"Consider protecting the habitat by not cutting turf mechanically.",IF(AND(Area!E13="Rarely"),"Consider protecting the habitat by not cutting turf mechanically.",IF(AND(Area!E13="Never"),"Consider protecting the habitat by not cutting turf mechanically.",IF(AND(Area!E13="N/A"),"The farm does not cut turf."))))))</f>
        <v>0</v>
      </c>
      <c r="G134" s="884"/>
      <c r="H134" s="853"/>
      <c r="I134" s="517"/>
      <c r="J134" s="106"/>
      <c r="K134" s="106"/>
      <c r="L134" s="106"/>
      <c r="M134" s="336"/>
      <c r="N134" s="336"/>
      <c r="O134" s="336"/>
      <c r="P134" s="336"/>
      <c r="Q134" s="336"/>
      <c r="R134" s="336"/>
      <c r="S134" s="336"/>
      <c r="T134" s="336"/>
      <c r="U134" s="336"/>
      <c r="V134" s="336"/>
      <c r="W134" s="336"/>
      <c r="X134" s="336"/>
      <c r="Y134" s="336"/>
      <c r="Z134" s="336"/>
      <c r="AA134" s="336"/>
      <c r="AB134" s="336"/>
      <c r="AC134" s="336"/>
      <c r="AD134" s="336"/>
      <c r="AE134" s="336"/>
      <c r="AF134" s="336"/>
      <c r="AG134" s="506"/>
      <c r="AH134" s="506"/>
      <c r="AI134" s="506"/>
      <c r="AJ134" s="506"/>
      <c r="AK134" s="506"/>
      <c r="AL134" s="506"/>
      <c r="AM134" s="506"/>
      <c r="AN134" s="506"/>
      <c r="AO134" s="506"/>
      <c r="AP134" s="506"/>
      <c r="AQ134" s="506"/>
      <c r="AR134" s="506"/>
      <c r="AS134" s="506"/>
      <c r="AT134" s="506"/>
      <c r="AU134" s="506"/>
      <c r="AV134" s="506"/>
      <c r="AW134" s="506"/>
      <c r="AX134" s="506"/>
      <c r="AY134" s="506"/>
      <c r="AZ134" s="506"/>
      <c r="BA134" s="506"/>
      <c r="BB134" s="506"/>
      <c r="BC134" s="506"/>
      <c r="BD134" s="506"/>
      <c r="BE134" s="506"/>
      <c r="BF134" s="506"/>
    </row>
    <row r="135" spans="1:58" s="317" customFormat="1" ht="69.75" customHeight="1" x14ac:dyDescent="0.2">
      <c r="A135" s="866"/>
      <c r="B135" s="869"/>
      <c r="C135" s="877"/>
      <c r="D135" s="928"/>
      <c r="E135" s="831"/>
      <c r="F135" s="391" t="b">
        <f>IF(Area!E14="Always","I ALWAYS retain dead wood as habitat piles. Woodpiles are a valuable habitat for mosses, lichens and fungi, as well as insects. Birds and bats will then feed on these insects.",IF(AND(Area!E14="Often"),"Consider retaining some dead wood as habitat piles. Woodpiles are a valuable habitat for mosses, lichens and fungi, as well as insects. Birds and bats will then feed on these insects.",IF(AND(Area!E14="Sometimes"),"Consider retaining some dead wood as habitat piles. Woodpiles are a valuable habitat for mosses, lichens and fungi, as well as insects. Birds and bats will then feed on these insects.",IF(AND(Area!E14="Rarely"),"Consider retaining some dead wood as habitat piles. Woodpiles are a valuable habitat for mosses, lichens and fungi, as well as insects. Birds and bats will then feed on these insects.",IF(AND(Area!E14="Never"),"Consider retaining some dead wood as habitat piles. Woodpiles are a valuable habitat for mosses, lichens and fungi, as well as insects. Birds and bats will then feed on these insects.")))))</f>
        <v>0</v>
      </c>
      <c r="G135" s="884"/>
      <c r="H135" s="853"/>
      <c r="I135" s="517"/>
      <c r="J135" s="508"/>
      <c r="K135" s="106"/>
      <c r="L135" s="106"/>
      <c r="M135" s="336"/>
      <c r="N135" s="336"/>
      <c r="O135" s="336"/>
      <c r="P135" s="336"/>
      <c r="Q135" s="336"/>
      <c r="R135" s="336"/>
      <c r="S135" s="336"/>
      <c r="T135" s="336"/>
      <c r="U135" s="336"/>
      <c r="V135" s="336"/>
      <c r="W135" s="336"/>
      <c r="X135" s="336"/>
      <c r="Y135" s="336"/>
      <c r="Z135" s="336"/>
      <c r="AA135" s="336"/>
      <c r="AB135" s="336"/>
      <c r="AC135" s="336"/>
      <c r="AD135" s="336"/>
      <c r="AE135" s="336"/>
      <c r="AF135" s="336"/>
      <c r="AG135" s="506"/>
      <c r="AH135" s="506"/>
      <c r="AI135" s="506"/>
      <c r="AJ135" s="506"/>
      <c r="AK135" s="506"/>
      <c r="AL135" s="506"/>
      <c r="AM135" s="506"/>
      <c r="AN135" s="506"/>
      <c r="AO135" s="506"/>
      <c r="AP135" s="506"/>
      <c r="AQ135" s="506"/>
      <c r="AR135" s="506"/>
      <c r="AS135" s="506"/>
      <c r="AT135" s="506"/>
      <c r="AU135" s="506"/>
      <c r="AV135" s="506"/>
      <c r="AW135" s="506"/>
      <c r="AX135" s="506"/>
      <c r="AY135" s="506"/>
      <c r="AZ135" s="506"/>
      <c r="BA135" s="506"/>
      <c r="BB135" s="506"/>
      <c r="BC135" s="506"/>
      <c r="BD135" s="506"/>
      <c r="BE135" s="506"/>
      <c r="BF135" s="506"/>
    </row>
    <row r="136" spans="1:58" s="317" customFormat="1" ht="54.75" customHeight="1" x14ac:dyDescent="0.2">
      <c r="A136" s="866"/>
      <c r="B136" s="869"/>
      <c r="C136" s="877"/>
      <c r="D136" s="928"/>
      <c r="E136" s="831"/>
      <c r="F136" s="391" t="b">
        <f>IF(Area!E15="Always","I ALWAYS control predators (foxes, crows or magpies) to help ground-nesting birds.",IF(AND(Area!E15="Often"),"Consider controlling predators (foxes, crows or magpies) to help ground-nesting birds.",IF(AND(Area!E15="Sometimes"),"Consider controlling predators (foxes, crows or magpies) to help ground-nesting birds.",IF(AND(Area!E15="Rarely"),"Consider controlling predators (foxes, crows or magpies) to help ground-nesting birds.",IF(AND(Area!E15="Never"),"Consider controlling predators (foxes, crows or magpies) to help ground-nesting birds.")))))</f>
        <v>0</v>
      </c>
      <c r="G136" s="884"/>
      <c r="H136" s="853"/>
      <c r="I136" s="517"/>
      <c r="J136" s="508"/>
      <c r="K136" s="106"/>
      <c r="L136" s="106"/>
      <c r="M136" s="336"/>
      <c r="N136" s="336"/>
      <c r="O136" s="336"/>
      <c r="P136" s="336"/>
      <c r="Q136" s="336"/>
      <c r="R136" s="336"/>
      <c r="S136" s="336"/>
      <c r="T136" s="336"/>
      <c r="U136" s="336"/>
      <c r="V136" s="336"/>
      <c r="W136" s="336"/>
      <c r="X136" s="336"/>
      <c r="Y136" s="336"/>
      <c r="Z136" s="336"/>
      <c r="AA136" s="336"/>
      <c r="AB136" s="336"/>
      <c r="AC136" s="336"/>
      <c r="AD136" s="336"/>
      <c r="AE136" s="336"/>
      <c r="AF136" s="336"/>
      <c r="AG136" s="506"/>
      <c r="AH136" s="506"/>
      <c r="AI136" s="506"/>
      <c r="AJ136" s="506"/>
      <c r="AK136" s="506"/>
      <c r="AL136" s="506"/>
      <c r="AM136" s="506"/>
      <c r="AN136" s="506"/>
      <c r="AO136" s="506"/>
      <c r="AP136" s="506"/>
      <c r="AQ136" s="506"/>
      <c r="AR136" s="506"/>
      <c r="AS136" s="506"/>
      <c r="AT136" s="506"/>
      <c r="AU136" s="506"/>
      <c r="AV136" s="506"/>
      <c r="AW136" s="506"/>
      <c r="AX136" s="506"/>
      <c r="AY136" s="506"/>
      <c r="AZ136" s="506"/>
      <c r="BA136" s="506"/>
      <c r="BB136" s="506"/>
      <c r="BC136" s="506"/>
      <c r="BD136" s="506"/>
      <c r="BE136" s="506"/>
      <c r="BF136" s="506"/>
    </row>
    <row r="137" spans="1:58" s="317" customFormat="1" ht="54.75" customHeight="1" x14ac:dyDescent="0.2">
      <c r="A137" s="866"/>
      <c r="B137" s="869"/>
      <c r="C137" s="877"/>
      <c r="D137" s="928"/>
      <c r="E137" s="831"/>
      <c r="F137" s="391" t="b">
        <f>IF(Area!E16="Always","I ALWAYS renew woodland habitats by planting trees/shrubs, if necessary.",IF(AND(Area!E16="Often"),"Consider renewing woodland habitats by planting trees/shrubs, where necessary.",IF(AND(Area!E16="Sometimes"),"Consider renewing woodland habitats by planting trees/shrubs, where necessary.",IF(AND(Area!E16="Rarely"),"Consider renewing woodland habitats by planting trees/shrubs, where necessary.",IF(AND(Area!E16="Never"),"Consider renewing woodland habitats by planting trees/shrubs, where necessary.",IF(AND(Area!E16="N/A"),"The farm does not have areas of woodland habitat."))))))</f>
        <v>0</v>
      </c>
      <c r="G137" s="884"/>
      <c r="H137" s="853"/>
      <c r="I137" s="517"/>
      <c r="J137" s="505"/>
      <c r="K137" s="106"/>
      <c r="L137" s="106"/>
      <c r="M137" s="336"/>
      <c r="N137" s="336"/>
      <c r="O137" s="336"/>
      <c r="P137" s="336"/>
      <c r="Q137" s="336"/>
      <c r="R137" s="336"/>
      <c r="S137" s="336"/>
      <c r="T137" s="336"/>
      <c r="U137" s="336"/>
      <c r="V137" s="336"/>
      <c r="W137" s="336"/>
      <c r="X137" s="336"/>
      <c r="Y137" s="336"/>
      <c r="Z137" s="336"/>
      <c r="AA137" s="336"/>
      <c r="AB137" s="336"/>
      <c r="AC137" s="336"/>
      <c r="AD137" s="336"/>
      <c r="AE137" s="336"/>
      <c r="AF137" s="336"/>
      <c r="AG137" s="506"/>
      <c r="AH137" s="506"/>
      <c r="AI137" s="506"/>
      <c r="AJ137" s="506"/>
      <c r="AK137" s="506"/>
      <c r="AL137" s="506"/>
      <c r="AM137" s="506"/>
      <c r="AN137" s="506"/>
      <c r="AO137" s="506"/>
      <c r="AP137" s="506"/>
      <c r="AQ137" s="506"/>
      <c r="AR137" s="506"/>
      <c r="AS137" s="506"/>
      <c r="AT137" s="506"/>
      <c r="AU137" s="506"/>
      <c r="AV137" s="506"/>
      <c r="AW137" s="506"/>
      <c r="AX137" s="506"/>
      <c r="AY137" s="506"/>
      <c r="AZ137" s="506"/>
      <c r="BA137" s="506"/>
      <c r="BB137" s="506"/>
      <c r="BC137" s="506"/>
      <c r="BD137" s="506"/>
      <c r="BE137" s="506"/>
      <c r="BF137" s="506"/>
    </row>
    <row r="138" spans="1:58" s="317" customFormat="1" ht="33.75" customHeight="1" x14ac:dyDescent="0.2">
      <c r="A138" s="866"/>
      <c r="B138" s="869"/>
      <c r="C138" s="877"/>
      <c r="D138" s="928"/>
      <c r="E138" s="831"/>
      <c r="F138" s="391" t="str">
        <f>Area!E17&amp;" - "&amp;Area!D17</f>
        <v xml:space="preserve"> - </v>
      </c>
      <c r="G138" s="884"/>
      <c r="H138" s="853"/>
      <c r="I138" s="507"/>
      <c r="J138" s="106"/>
      <c r="K138" s="106"/>
      <c r="L138" s="106"/>
      <c r="M138" s="336"/>
      <c r="N138" s="336"/>
      <c r="O138" s="336"/>
      <c r="P138" s="336"/>
      <c r="Q138" s="336"/>
      <c r="R138" s="336"/>
      <c r="S138" s="336"/>
      <c r="T138" s="336"/>
      <c r="U138" s="336"/>
      <c r="V138" s="336"/>
      <c r="W138" s="336"/>
      <c r="X138" s="336"/>
      <c r="Y138" s="336"/>
      <c r="Z138" s="336"/>
      <c r="AA138" s="336"/>
      <c r="AB138" s="336"/>
      <c r="AC138" s="336"/>
      <c r="AD138" s="336"/>
      <c r="AE138" s="336"/>
      <c r="AF138" s="336"/>
      <c r="AG138" s="506"/>
      <c r="AH138" s="506"/>
      <c r="AI138" s="506"/>
      <c r="AJ138" s="506"/>
      <c r="AK138" s="506"/>
      <c r="AL138" s="506"/>
      <c r="AM138" s="506"/>
      <c r="AN138" s="506"/>
      <c r="AO138" s="506"/>
      <c r="AP138" s="506"/>
      <c r="AQ138" s="506"/>
      <c r="AR138" s="506"/>
      <c r="AS138" s="506"/>
      <c r="AT138" s="506"/>
      <c r="AU138" s="506"/>
      <c r="AV138" s="506"/>
      <c r="AW138" s="506"/>
      <c r="AX138" s="506"/>
      <c r="AY138" s="506"/>
      <c r="AZ138" s="506"/>
      <c r="BA138" s="506"/>
      <c r="BB138" s="506"/>
      <c r="BC138" s="506"/>
      <c r="BD138" s="506"/>
      <c r="BE138" s="506"/>
      <c r="BF138" s="506"/>
    </row>
    <row r="139" spans="1:58" s="317" customFormat="1" ht="33.75" customHeight="1" thickBot="1" x14ac:dyDescent="0.25">
      <c r="A139" s="866"/>
      <c r="B139" s="869"/>
      <c r="C139" s="877"/>
      <c r="D139" s="928"/>
      <c r="E139" s="831"/>
      <c r="F139" s="388" t="str">
        <f>Area!E18&amp;" - "&amp;Area!D18</f>
        <v xml:space="preserve"> - </v>
      </c>
      <c r="G139" s="884"/>
      <c r="H139" s="854"/>
      <c r="I139" s="507"/>
      <c r="J139" s="106"/>
      <c r="K139" s="106"/>
      <c r="L139" s="106"/>
      <c r="M139" s="336"/>
      <c r="N139" s="336"/>
      <c r="O139" s="336"/>
      <c r="P139" s="336"/>
      <c r="Q139" s="336"/>
      <c r="R139" s="336"/>
      <c r="S139" s="336"/>
      <c r="T139" s="336"/>
      <c r="U139" s="336"/>
      <c r="V139" s="336"/>
      <c r="W139" s="336"/>
      <c r="X139" s="336"/>
      <c r="Y139" s="336"/>
      <c r="Z139" s="336"/>
      <c r="AA139" s="336"/>
      <c r="AB139" s="336"/>
      <c r="AC139" s="336"/>
      <c r="AD139" s="336"/>
      <c r="AE139" s="336"/>
      <c r="AF139" s="336"/>
      <c r="AG139" s="506"/>
      <c r="AH139" s="506"/>
      <c r="AI139" s="506"/>
      <c r="AJ139" s="506"/>
      <c r="AK139" s="506"/>
      <c r="AL139" s="506"/>
      <c r="AM139" s="506"/>
      <c r="AN139" s="506"/>
      <c r="AO139" s="506"/>
      <c r="AP139" s="506"/>
      <c r="AQ139" s="506"/>
      <c r="AR139" s="506"/>
      <c r="AS139" s="506"/>
      <c r="AT139" s="506"/>
      <c r="AU139" s="506"/>
      <c r="AV139" s="506"/>
      <c r="AW139" s="506"/>
      <c r="AX139" s="506"/>
      <c r="AY139" s="506"/>
      <c r="AZ139" s="506"/>
      <c r="BA139" s="506"/>
      <c r="BB139" s="506"/>
      <c r="BC139" s="506"/>
      <c r="BD139" s="506"/>
      <c r="BE139" s="506"/>
      <c r="BF139" s="506"/>
    </row>
    <row r="140" spans="1:58" s="317" customFormat="1" ht="39.75" customHeight="1" x14ac:dyDescent="0.2">
      <c r="A140" s="866"/>
      <c r="B140" s="890" t="s">
        <v>217</v>
      </c>
      <c r="C140" s="462"/>
      <c r="D140" s="389"/>
      <c r="E140" s="893" t="str">
        <f>Area!E19&amp;" - "&amp;Area!D19</f>
        <v xml:space="preserve"> - Put up nest boxes for songbirds.</v>
      </c>
      <c r="F140" s="894"/>
      <c r="G140" s="883" t="s">
        <v>258</v>
      </c>
      <c r="H140" s="861"/>
      <c r="I140" s="507"/>
      <c r="J140" s="106"/>
      <c r="K140" s="106"/>
      <c r="L140" s="106"/>
      <c r="M140" s="336"/>
      <c r="N140" s="336"/>
      <c r="O140" s="336"/>
      <c r="P140" s="336"/>
      <c r="Q140" s="336"/>
      <c r="R140" s="336"/>
      <c r="S140" s="336"/>
      <c r="T140" s="336"/>
      <c r="U140" s="336"/>
      <c r="V140" s="336"/>
      <c r="W140" s="336"/>
      <c r="X140" s="336"/>
      <c r="Y140" s="336"/>
      <c r="Z140" s="336"/>
      <c r="AA140" s="336"/>
      <c r="AB140" s="336"/>
      <c r="AC140" s="336"/>
      <c r="AD140" s="336"/>
      <c r="AE140" s="336"/>
      <c r="AF140" s="336"/>
      <c r="AG140" s="506"/>
      <c r="AH140" s="506"/>
      <c r="AI140" s="506"/>
      <c r="AJ140" s="506"/>
      <c r="AK140" s="506"/>
      <c r="AL140" s="506"/>
      <c r="AM140" s="506"/>
      <c r="AN140" s="506"/>
      <c r="AO140" s="506"/>
      <c r="AP140" s="506"/>
      <c r="AQ140" s="506"/>
      <c r="AR140" s="506"/>
      <c r="AS140" s="506"/>
      <c r="AT140" s="506"/>
      <c r="AU140" s="506"/>
      <c r="AV140" s="506"/>
      <c r="AW140" s="506"/>
      <c r="AX140" s="506"/>
      <c r="AY140" s="506"/>
      <c r="AZ140" s="506"/>
      <c r="BA140" s="506"/>
      <c r="BB140" s="506"/>
      <c r="BC140" s="506"/>
      <c r="BD140" s="506"/>
      <c r="BE140" s="506"/>
      <c r="BF140" s="506"/>
    </row>
    <row r="141" spans="1:58" s="317" customFormat="1" ht="39.75" customHeight="1" x14ac:dyDescent="0.2">
      <c r="A141" s="866"/>
      <c r="B141" s="891"/>
      <c r="C141" s="461"/>
      <c r="D141" s="388"/>
      <c r="E141" s="895" t="str">
        <f>Area!E21&amp;" - "&amp;Area!D21</f>
        <v xml:space="preserve"> - Install stone/sand/clay piles for bees.</v>
      </c>
      <c r="F141" s="896"/>
      <c r="G141" s="884"/>
      <c r="H141" s="853"/>
      <c r="I141" s="507"/>
      <c r="J141" s="106"/>
      <c r="K141" s="106"/>
      <c r="L141" s="106"/>
      <c r="M141" s="336"/>
      <c r="N141" s="336"/>
      <c r="O141" s="336"/>
      <c r="P141" s="336"/>
      <c r="Q141" s="336"/>
      <c r="R141" s="336"/>
      <c r="S141" s="336"/>
      <c r="T141" s="336"/>
      <c r="U141" s="336"/>
      <c r="V141" s="336"/>
      <c r="W141" s="336"/>
      <c r="X141" s="336"/>
      <c r="Y141" s="336"/>
      <c r="Z141" s="336"/>
      <c r="AA141" s="336"/>
      <c r="AB141" s="336"/>
      <c r="AC141" s="336"/>
      <c r="AD141" s="336"/>
      <c r="AE141" s="336"/>
      <c r="AF141" s="336"/>
      <c r="AG141" s="506"/>
      <c r="AH141" s="506"/>
      <c r="AI141" s="506"/>
      <c r="AJ141" s="506"/>
      <c r="AK141" s="506"/>
      <c r="AL141" s="506"/>
      <c r="AM141" s="506"/>
      <c r="AN141" s="506"/>
      <c r="AO141" s="506"/>
      <c r="AP141" s="506"/>
      <c r="AQ141" s="506"/>
      <c r="AR141" s="506"/>
      <c r="AS141" s="506"/>
      <c r="AT141" s="506"/>
      <c r="AU141" s="506"/>
      <c r="AV141" s="506"/>
      <c r="AW141" s="506"/>
      <c r="AX141" s="506"/>
      <c r="AY141" s="506"/>
      <c r="AZ141" s="506"/>
      <c r="BA141" s="506"/>
      <c r="BB141" s="506"/>
      <c r="BC141" s="506"/>
      <c r="BD141" s="506"/>
      <c r="BE141" s="506"/>
      <c r="BF141" s="506"/>
    </row>
    <row r="142" spans="1:58" s="317" customFormat="1" ht="39.75" customHeight="1" x14ac:dyDescent="0.2">
      <c r="A142" s="866"/>
      <c r="B142" s="891"/>
      <c r="C142" s="461"/>
      <c r="D142" s="388"/>
      <c r="E142" s="897" t="str">
        <f>Area!E23&amp;" - "&amp;Area!D23</f>
        <v xml:space="preserve"> - Erect bat box or other bat shelter</v>
      </c>
      <c r="F142" s="898"/>
      <c r="G142" s="884"/>
      <c r="H142" s="853"/>
      <c r="I142" s="507"/>
      <c r="J142" s="106"/>
      <c r="K142" s="106"/>
      <c r="L142" s="106"/>
      <c r="M142" s="336"/>
      <c r="N142" s="336"/>
      <c r="O142" s="336"/>
      <c r="P142" s="336"/>
      <c r="Q142" s="336"/>
      <c r="R142" s="336"/>
      <c r="S142" s="336"/>
      <c r="T142" s="336"/>
      <c r="U142" s="336"/>
      <c r="V142" s="336"/>
      <c r="W142" s="336"/>
      <c r="X142" s="336"/>
      <c r="Y142" s="336"/>
      <c r="Z142" s="336"/>
      <c r="AA142" s="336"/>
      <c r="AB142" s="336"/>
      <c r="AC142" s="336"/>
      <c r="AD142" s="336"/>
      <c r="AE142" s="336"/>
      <c r="AF142" s="336"/>
      <c r="AG142" s="506"/>
      <c r="AH142" s="506"/>
      <c r="AI142" s="506"/>
      <c r="AJ142" s="506"/>
      <c r="AK142" s="506"/>
      <c r="AL142" s="506"/>
      <c r="AM142" s="506"/>
      <c r="AN142" s="506"/>
      <c r="AO142" s="506"/>
      <c r="AP142" s="506"/>
      <c r="AQ142" s="506"/>
      <c r="AR142" s="506"/>
      <c r="AS142" s="506"/>
      <c r="AT142" s="506"/>
      <c r="AU142" s="506"/>
      <c r="AV142" s="506"/>
      <c r="AW142" s="506"/>
      <c r="AX142" s="506"/>
      <c r="AY142" s="506"/>
      <c r="AZ142" s="506"/>
      <c r="BA142" s="506"/>
      <c r="BB142" s="506"/>
      <c r="BC142" s="506"/>
      <c r="BD142" s="506"/>
      <c r="BE142" s="506"/>
      <c r="BF142" s="506"/>
    </row>
    <row r="143" spans="1:58" s="317" customFormat="1" ht="39.75" customHeight="1" thickBot="1" x14ac:dyDescent="0.25">
      <c r="A143" s="867"/>
      <c r="B143" s="892"/>
      <c r="C143" s="463"/>
      <c r="D143" s="464"/>
      <c r="E143" s="899" t="str">
        <f>IF(Area!E26="Yes","Consider allowing other grassland areas to convert to semi-natural grassland through natural processes",(Area!E26&amp;" - "&amp;Area!D26))</f>
        <v xml:space="preserve"> - Allow other grassland areas to convert to semi-natural grassland through natural processes. </v>
      </c>
      <c r="F143" s="900"/>
      <c r="G143" s="886"/>
      <c r="H143" s="854"/>
      <c r="I143" s="507"/>
      <c r="J143" s="106"/>
      <c r="K143" s="106"/>
      <c r="L143" s="106"/>
      <c r="M143" s="336"/>
      <c r="N143" s="336"/>
      <c r="O143" s="336"/>
      <c r="P143" s="336"/>
      <c r="Q143" s="336"/>
      <c r="R143" s="336"/>
      <c r="S143" s="336"/>
      <c r="T143" s="336"/>
      <c r="U143" s="336"/>
      <c r="V143" s="336"/>
      <c r="W143" s="336"/>
      <c r="X143" s="336"/>
      <c r="Y143" s="336"/>
      <c r="Z143" s="336"/>
      <c r="AA143" s="336"/>
      <c r="AB143" s="336"/>
      <c r="AC143" s="336"/>
      <c r="AD143" s="336"/>
      <c r="AE143" s="336"/>
      <c r="AF143" s="336"/>
      <c r="AG143" s="506"/>
      <c r="AH143" s="506"/>
      <c r="AI143" s="506"/>
      <c r="AJ143" s="506"/>
      <c r="AK143" s="506"/>
      <c r="AL143" s="506"/>
      <c r="AM143" s="506"/>
      <c r="AN143" s="506"/>
      <c r="AO143" s="506"/>
      <c r="AP143" s="506"/>
      <c r="AQ143" s="506"/>
      <c r="AR143" s="506"/>
      <c r="AS143" s="506"/>
      <c r="AT143" s="506"/>
      <c r="AU143" s="506"/>
      <c r="AV143" s="506"/>
      <c r="AW143" s="506"/>
      <c r="AX143" s="506"/>
      <c r="AY143" s="506"/>
      <c r="AZ143" s="506"/>
      <c r="BA143" s="506"/>
      <c r="BB143" s="506"/>
      <c r="BC143" s="506"/>
      <c r="BD143" s="506"/>
      <c r="BE143" s="506"/>
      <c r="BF143" s="506"/>
    </row>
    <row r="144" spans="1:58" ht="19.5" customHeight="1" x14ac:dyDescent="0.2">
      <c r="G144" s="393"/>
      <c r="I144" s="516"/>
      <c r="J144" s="505"/>
    </row>
    <row r="145" spans="7:10" ht="19.5" customHeight="1" x14ac:dyDescent="0.2">
      <c r="G145" s="393"/>
      <c r="I145" s="516"/>
      <c r="J145" s="15"/>
    </row>
    <row r="146" spans="7:10" ht="19.5" customHeight="1" x14ac:dyDescent="0.2">
      <c r="G146" s="393"/>
      <c r="I146" s="516"/>
      <c r="J146" s="15"/>
    </row>
    <row r="147" spans="7:10" ht="19.5" customHeight="1" x14ac:dyDescent="0.2">
      <c r="G147" s="393"/>
      <c r="I147" s="516"/>
      <c r="J147" s="15"/>
    </row>
    <row r="148" spans="7:10" ht="19.5" customHeight="1" x14ac:dyDescent="0.2">
      <c r="I148" s="516"/>
      <c r="J148" s="15"/>
    </row>
    <row r="149" spans="7:10" ht="20.25" customHeight="1" x14ac:dyDescent="0.2">
      <c r="I149" s="516"/>
      <c r="J149" s="15"/>
    </row>
    <row r="150" spans="7:10" ht="21" hidden="1" customHeight="1" x14ac:dyDescent="0.2">
      <c r="I150" s="516"/>
      <c r="J150" s="15"/>
    </row>
    <row r="151" spans="7:10" ht="21" hidden="1" customHeight="1" x14ac:dyDescent="0.2">
      <c r="I151" s="516"/>
      <c r="J151" s="15"/>
    </row>
    <row r="152" spans="7:10" ht="21" hidden="1" customHeight="1" x14ac:dyDescent="0.2">
      <c r="I152" s="516"/>
      <c r="J152" s="15"/>
    </row>
    <row r="153" spans="7:10" ht="21" hidden="1" customHeight="1" x14ac:dyDescent="0.2">
      <c r="I153" s="516"/>
      <c r="J153" s="15"/>
    </row>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sheetData>
  <sheetProtection algorithmName="SHA-512" hashValue="rfogvAnFrmBoFM3ILymOPyI5JiwOpj+PlTu4J0FPXS5FofX5OW3aMwZKBUMmyMgdW4ikrybu4tSfXwWr6DDRNw==" saltValue="aul+d+504RTvhYyYwELOsQ==" spinCount="100000" sheet="1" objects="1" scenarios="1" selectLockedCells="1"/>
  <mergeCells count="102">
    <mergeCell ref="D124:D139"/>
    <mergeCell ref="E124:E139"/>
    <mergeCell ref="D113:F113"/>
    <mergeCell ref="D114:F114"/>
    <mergeCell ref="B103:B112"/>
    <mergeCell ref="C103:C112"/>
    <mergeCell ref="E103:E112"/>
    <mergeCell ref="B101:G101"/>
    <mergeCell ref="B9:C9"/>
    <mergeCell ref="B10:C10"/>
    <mergeCell ref="B11:C11"/>
    <mergeCell ref="B12:C12"/>
    <mergeCell ref="B19:C19"/>
    <mergeCell ref="B20:C20"/>
    <mergeCell ref="B21:C21"/>
    <mergeCell ref="B22:C22"/>
    <mergeCell ref="C33:C39"/>
    <mergeCell ref="B13:C13"/>
    <mergeCell ref="B40:B46"/>
    <mergeCell ref="B93:B99"/>
    <mergeCell ref="C93:C99"/>
    <mergeCell ref="C47:C52"/>
    <mergeCell ref="B91:G91"/>
    <mergeCell ref="C100:F100"/>
    <mergeCell ref="C83:C89"/>
    <mergeCell ref="D83:D89"/>
    <mergeCell ref="E83:E89"/>
    <mergeCell ref="E93:E99"/>
    <mergeCell ref="D93:D99"/>
    <mergeCell ref="C53:C60"/>
    <mergeCell ref="G140:G143"/>
    <mergeCell ref="E40:E46"/>
    <mergeCell ref="E47:E52"/>
    <mergeCell ref="D47:D52"/>
    <mergeCell ref="C70:C79"/>
    <mergeCell ref="D70:D79"/>
    <mergeCell ref="E70:E79"/>
    <mergeCell ref="G70:G79"/>
    <mergeCell ref="B47:B52"/>
    <mergeCell ref="B140:B143"/>
    <mergeCell ref="E140:F140"/>
    <mergeCell ref="E141:F141"/>
    <mergeCell ref="E142:F142"/>
    <mergeCell ref="E143:F143"/>
    <mergeCell ref="D40:D46"/>
    <mergeCell ref="E117:E121"/>
    <mergeCell ref="B83:B89"/>
    <mergeCell ref="G93:G99"/>
    <mergeCell ref="D53:D60"/>
    <mergeCell ref="E53:E60"/>
    <mergeCell ref="G83:G89"/>
    <mergeCell ref="C40:C46"/>
    <mergeCell ref="B82:G82"/>
    <mergeCell ref="C80:F80"/>
    <mergeCell ref="H115:H116"/>
    <mergeCell ref="B115:G115"/>
    <mergeCell ref="H54:H60"/>
    <mergeCell ref="H61:H67"/>
    <mergeCell ref="H70:H79"/>
    <mergeCell ref="G117:G121"/>
    <mergeCell ref="A82:A121"/>
    <mergeCell ref="H140:H143"/>
    <mergeCell ref="A53:A81"/>
    <mergeCell ref="A122:A143"/>
    <mergeCell ref="B124:B139"/>
    <mergeCell ref="G53:G60"/>
    <mergeCell ref="B70:B79"/>
    <mergeCell ref="D117:D121"/>
    <mergeCell ref="C117:C121"/>
    <mergeCell ref="B117:B121"/>
    <mergeCell ref="C124:C139"/>
    <mergeCell ref="H124:H139"/>
    <mergeCell ref="G124:G139"/>
    <mergeCell ref="D103:D112"/>
    <mergeCell ref="B53:B60"/>
    <mergeCell ref="B61:B67"/>
    <mergeCell ref="C61:C67"/>
    <mergeCell ref="D61:D67"/>
    <mergeCell ref="B6:E6"/>
    <mergeCell ref="B15:E15"/>
    <mergeCell ref="J104:M104"/>
    <mergeCell ref="J105:M105"/>
    <mergeCell ref="J106:M106"/>
    <mergeCell ref="J107:M107"/>
    <mergeCell ref="J108:M108"/>
    <mergeCell ref="J109:M109"/>
    <mergeCell ref="A28:H28"/>
    <mergeCell ref="H33:H39"/>
    <mergeCell ref="H40:H46"/>
    <mergeCell ref="H47:H52"/>
    <mergeCell ref="G47:G52"/>
    <mergeCell ref="G33:G39"/>
    <mergeCell ref="G40:G46"/>
    <mergeCell ref="E33:E39"/>
    <mergeCell ref="A29:B29"/>
    <mergeCell ref="A30:A52"/>
    <mergeCell ref="H101:H114"/>
    <mergeCell ref="D33:D39"/>
    <mergeCell ref="B33:B39"/>
    <mergeCell ref="E61:E67"/>
    <mergeCell ref="G61:G67"/>
    <mergeCell ref="G103:G112"/>
  </mergeCells>
  <conditionalFormatting sqref="F55">
    <cfRule type="containsText" dxfId="24" priority="88" operator="containsText" text="mint">
      <formula>NOT(ISERROR(SEARCH("mint",F55)))</formula>
    </cfRule>
  </conditionalFormatting>
  <conditionalFormatting sqref="F54">
    <cfRule type="containsText" dxfId="23" priority="89" operator="containsText" text="without">
      <formula>NOT(ISERROR(SEARCH("without",F54)))</formula>
    </cfRule>
  </conditionalFormatting>
  <conditionalFormatting sqref="G31">
    <cfRule type="containsText" dxfId="22" priority="86" operator="containsText" text="grassland">
      <formula>NOT(ISERROR(SEARCH("grassland",G31)))</formula>
    </cfRule>
  </conditionalFormatting>
  <conditionalFormatting sqref="E140:F143">
    <cfRule type="containsText" dxfId="21" priority="11" operator="containsText" text="Yes opportunity">
      <formula>NOT(ISERROR(SEARCH("Yes opportunity",E140)))</formula>
    </cfRule>
  </conditionalFormatting>
  <conditionalFormatting sqref="G31:G32 G69">
    <cfRule type="containsText" dxfId="20" priority="48" operator="containsText" text="Consider">
      <formula>NOT(ISERROR(SEARCH("Consider",G31)))</formula>
    </cfRule>
  </conditionalFormatting>
  <conditionalFormatting sqref="F103:F112 F117:F121">
    <cfRule type="containsText" dxfId="19" priority="36" operator="containsText" text="rarely">
      <formula>NOT(ISERROR(SEARCH("rarely",F103)))</formula>
    </cfRule>
  </conditionalFormatting>
  <conditionalFormatting sqref="F95">
    <cfRule type="containsText" dxfId="18" priority="30" operator="containsText" text="kept clear">
      <formula>NOT(ISERROR(SEARCH("kept clear",F95)))</formula>
    </cfRule>
  </conditionalFormatting>
  <conditionalFormatting sqref="F97">
    <cfRule type="containsText" dxfId="17" priority="29" operator="containsText" text="currently introduced">
      <formula>NOT(ISERROR(SEARCH("currently introduced",F97)))</formula>
    </cfRule>
  </conditionalFormatting>
  <conditionalFormatting sqref="F93:F99 F103:F112 F70:F79 F117:F121 F124:F139">
    <cfRule type="containsText" dxfId="16" priority="23" operator="containsText" text="never">
      <formula>NOT(ISERROR(SEARCH("never",F70)))</formula>
    </cfRule>
  </conditionalFormatting>
  <conditionalFormatting sqref="F81">
    <cfRule type="containsText" dxfId="15" priority="17" operator="containsText" text="both">
      <formula>NOT(ISERROR(SEARCH("both",F81)))</formula>
    </cfRule>
    <cfRule type="containsText" dxfId="14" priority="18" operator="containsText" text="consider">
      <formula>NOT(ISERROR(SEARCH("consider",F81)))</formula>
    </cfRule>
  </conditionalFormatting>
  <conditionalFormatting sqref="F47:F52">
    <cfRule type="containsText" dxfId="13" priority="15" operator="containsText" text="present">
      <formula>NOT(ISERROR(SEARCH("present",F47)))</formula>
    </cfRule>
  </conditionalFormatting>
  <conditionalFormatting sqref="F123">
    <cfRule type="containsText" dxfId="12" priority="13" operator="containsText" text="Part">
      <formula>NOT(ISERROR(SEARCH("Part",F123)))</formula>
    </cfRule>
  </conditionalFormatting>
  <conditionalFormatting sqref="E140:F142">
    <cfRule type="containsText" dxfId="11" priority="12" operator="containsText" text="Currently practicing">
      <formula>NOT(ISERROR(SEARCH("Currently practicing",E140)))</formula>
    </cfRule>
  </conditionalFormatting>
  <conditionalFormatting sqref="E143:F143">
    <cfRule type="containsText" dxfId="10" priority="10" operator="containsText" text="currently established">
      <formula>NOT(ISERROR(SEARCH("currently established",E143)))</formula>
    </cfRule>
  </conditionalFormatting>
  <conditionalFormatting sqref="D113:F113 F123">
    <cfRule type="containsText" dxfId="9" priority="6" operator="containsText" text="All">
      <formula>NOT(ISERROR(SEARCH("All",D113)))</formula>
    </cfRule>
  </conditionalFormatting>
  <conditionalFormatting sqref="D114:F114">
    <cfRule type="containsText" dxfId="8" priority="4" operator="containsText" text="Keep">
      <formula>NOT(ISERROR(SEARCH("Keep",D114)))</formula>
    </cfRule>
  </conditionalFormatting>
  <conditionalFormatting sqref="G30 G31 G33 G40 G47 G53 G61 G68 G69 G70 G83 G93 G103 G117 G124 G140 G32">
    <cfRule type="containsText" dxfId="7" priority="2" operator="containsText" text="Maximum">
      <formula>NOT(ISERROR(SEARCH("Maximum",G30)))</formula>
    </cfRule>
  </conditionalFormatting>
  <conditionalFormatting sqref="F124:F139 D113:D114 F47:F52 F95 F97 F33:F46 F56 F61:F65 F83:F89 C100 F57:F58">
    <cfRule type="containsText" dxfId="6" priority="3" operator="containsText" text="consider">
      <formula>NOT(ISERROR(SEARCH("consider",C33)))</formula>
    </cfRule>
  </conditionalFormatting>
  <conditionalFormatting sqref="F33:F46 F83:F89">
    <cfRule type="containsText" dxfId="5" priority="16" operator="containsText" text="currently">
      <formula>NOT(ISERROR(SEARCH("currently",F33)))</formula>
    </cfRule>
  </conditionalFormatting>
  <conditionalFormatting sqref="F70:F79 F124:F139 F93:F99">
    <cfRule type="containsText" dxfId="4" priority="19" operator="containsText" text="rarely">
      <formula>NOT(ISERROR(SEARCH("rarely",F70)))</formula>
    </cfRule>
  </conditionalFormatting>
  <conditionalFormatting sqref="F70:F79 F124:F139">
    <cfRule type="containsText" dxfId="3" priority="20" operator="containsText" text="always">
      <formula>NOT(ISERROR(SEARCH("always",F70)))</formula>
    </cfRule>
  </conditionalFormatting>
  <conditionalFormatting sqref="F93:F99 F117:F121 F103:F112">
    <cfRule type="containsText" dxfId="2" priority="35" operator="containsText" text="always">
      <formula>NOT(ISERROR(SEARCH("always",F93)))</formula>
    </cfRule>
  </conditionalFormatting>
  <conditionalFormatting sqref="F70:F79 F93:F99 F103:F112 F117:F121 F124:F139">
    <cfRule type="containsText" dxfId="1" priority="21" operator="containsText" text="sometimes">
      <formula>NOT(ISERROR(SEARCH("sometimes",F70)))</formula>
    </cfRule>
    <cfRule type="containsText" dxfId="0" priority="22" operator="containsText" text="Often">
      <formula>NOT(ISERROR(SEARCH("Often",F70)))</formula>
    </cfRule>
  </conditionalFormatting>
  <dataValidations count="1">
    <dataValidation type="whole" allowBlank="1" showInputMessage="1" showErrorMessage="1" sqref="C61" xr:uid="{00000000-0002-0000-0700-000000000000}">
      <formula1>0</formula1>
      <formula2>50</formula2>
    </dataValidation>
  </dataValidations>
  <pageMargins left="0.23622047244094491" right="0.23622047244094491" top="0.74803149606299213" bottom="0.74803149606299213" header="0.31496062992125984" footer="0.31496062992125984"/>
  <pageSetup paperSize="9" orientation="landscape" r:id="rId1"/>
  <headerFooter>
    <oddHeader>&amp;LBenchmark 1 and 2&amp;CCAFRE BioTool&amp;R&amp;D</oddHeader>
    <oddFooter>&amp;CTo allow CAFRE staff to compare and analyse results from a range of different farms, please email your completed assessment tool to: CAFREFarmBioTool@cafre.ac.uk</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1:AQ201"/>
  <sheetViews>
    <sheetView showGridLines="0" showRowColHeaders="0" zoomScale="120" zoomScaleNormal="120" workbookViewId="0">
      <selection activeCell="J158" sqref="J158"/>
    </sheetView>
  </sheetViews>
  <sheetFormatPr defaultColWidth="9.140625" defaultRowHeight="12.75" zeroHeight="1" x14ac:dyDescent="0.2"/>
  <cols>
    <col min="1" max="1" width="9.140625" customWidth="1"/>
    <col min="2" max="2" width="24.7109375" customWidth="1"/>
    <col min="3" max="3" width="30.140625" customWidth="1"/>
    <col min="4" max="4" width="43.7109375" customWidth="1"/>
    <col min="5" max="12" width="9.140625" customWidth="1"/>
    <col min="13" max="13" width="14.42578125" customWidth="1"/>
    <col min="14" max="14" width="33.5703125" bestFit="1" customWidth="1"/>
    <col min="15" max="15" width="14.42578125" customWidth="1"/>
    <col min="16" max="43" width="9.140625" customWidth="1"/>
    <col min="44" max="44" width="27.5703125" customWidth="1"/>
    <col min="45" max="45" width="35.28515625" customWidth="1"/>
    <col min="46" max="46" width="9.140625" customWidth="1"/>
    <col min="16384" max="16384" width="6.42578125" customWidth="1"/>
  </cols>
  <sheetData>
    <row r="1" spans="2:5" x14ac:dyDescent="0.2"/>
    <row r="2" spans="2:5" ht="26.25" x14ac:dyDescent="0.4">
      <c r="B2" s="475"/>
      <c r="C2" s="936" t="s">
        <v>315</v>
      </c>
      <c r="D2" s="936"/>
      <c r="E2" s="475"/>
    </row>
    <row r="3" spans="2:5" x14ac:dyDescent="0.2"/>
    <row r="4" spans="2:5" x14ac:dyDescent="0.2"/>
    <row r="5" spans="2:5" x14ac:dyDescent="0.2"/>
    <row r="6" spans="2:5" x14ac:dyDescent="0.2"/>
    <row r="7" spans="2:5" x14ac:dyDescent="0.2"/>
    <row r="8" spans="2:5" x14ac:dyDescent="0.2"/>
    <row r="9" spans="2:5" x14ac:dyDescent="0.2"/>
    <row r="10" spans="2:5" x14ac:dyDescent="0.2"/>
    <row r="11" spans="2:5" x14ac:dyDescent="0.2"/>
    <row r="12" spans="2:5" x14ac:dyDescent="0.2"/>
    <row r="13" spans="2:5" x14ac:dyDescent="0.2"/>
    <row r="14" spans="2:5" x14ac:dyDescent="0.2"/>
    <row r="15" spans="2:5" x14ac:dyDescent="0.2"/>
    <row r="16" spans="2:5"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spans="7:22" x14ac:dyDescent="0.2"/>
    <row r="50" spans="7:22" x14ac:dyDescent="0.2"/>
    <row r="51" spans="7:22" x14ac:dyDescent="0.2"/>
    <row r="52" spans="7:22" x14ac:dyDescent="0.2"/>
    <row r="53" spans="7:22" x14ac:dyDescent="0.2"/>
    <row r="54" spans="7:22" x14ac:dyDescent="0.2">
      <c r="R54" s="2"/>
      <c r="T54" s="3"/>
      <c r="U54" s="3"/>
      <c r="V54" s="3"/>
    </row>
    <row r="55" spans="7:22" x14ac:dyDescent="0.2">
      <c r="R55" s="3"/>
      <c r="S55" s="3"/>
      <c r="T55" s="5"/>
      <c r="U55" s="5"/>
      <c r="V55" s="4"/>
    </row>
    <row r="56" spans="7:22" x14ac:dyDescent="0.2">
      <c r="R56" s="3"/>
      <c r="S56" s="3"/>
      <c r="V56" s="1"/>
    </row>
    <row r="57" spans="7:22" x14ac:dyDescent="0.2">
      <c r="R57" s="3"/>
      <c r="S57" s="3"/>
      <c r="V57" s="1"/>
    </row>
    <row r="58" spans="7:22" x14ac:dyDescent="0.2">
      <c r="R58" s="3"/>
      <c r="S58" s="3"/>
      <c r="V58" s="1"/>
    </row>
    <row r="59" spans="7:22" ht="18" x14ac:dyDescent="0.25">
      <c r="R59" s="7"/>
      <c r="S59" s="7"/>
      <c r="T59" s="6"/>
      <c r="U59" s="6"/>
      <c r="V59" s="1"/>
    </row>
    <row r="60" spans="7:22" x14ac:dyDescent="0.2"/>
    <row r="61" spans="7:22" x14ac:dyDescent="0.2"/>
    <row r="62" spans="7:22" x14ac:dyDescent="0.2">
      <c r="G62" s="109"/>
    </row>
    <row r="63" spans="7:22" x14ac:dyDescent="0.2">
      <c r="G63" s="109"/>
    </row>
    <row r="64" spans="7:22" x14ac:dyDescent="0.2"/>
    <row r="65" spans="43:43" x14ac:dyDescent="0.2"/>
    <row r="66" spans="43:43" x14ac:dyDescent="0.2"/>
    <row r="67" spans="43:43" x14ac:dyDescent="0.2">
      <c r="AQ67" s="5"/>
    </row>
    <row r="68" spans="43:43" x14ac:dyDescent="0.2"/>
    <row r="69" spans="43:43" x14ac:dyDescent="0.2"/>
    <row r="70" spans="43:43" x14ac:dyDescent="0.2"/>
    <row r="71" spans="43:43" x14ac:dyDescent="0.2">
      <c r="AQ71" s="5"/>
    </row>
    <row r="72" spans="43:43" x14ac:dyDescent="0.2"/>
    <row r="73" spans="43:43" x14ac:dyDescent="0.2"/>
    <row r="74" spans="43:43" x14ac:dyDescent="0.2">
      <c r="AQ74" s="5"/>
    </row>
    <row r="75" spans="43:43" x14ac:dyDescent="0.2"/>
    <row r="76" spans="43:43" x14ac:dyDescent="0.2"/>
    <row r="77" spans="43:43" x14ac:dyDescent="0.2"/>
    <row r="78" spans="43:43" x14ac:dyDescent="0.2"/>
    <row r="79" spans="43:43" x14ac:dyDescent="0.2"/>
    <row r="80" spans="43:43"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spans="7:7" x14ac:dyDescent="0.2"/>
    <row r="130" spans="7:7" x14ac:dyDescent="0.2"/>
    <row r="131" spans="7:7" x14ac:dyDescent="0.2"/>
    <row r="132" spans="7:7" x14ac:dyDescent="0.2"/>
    <row r="133" spans="7:7" x14ac:dyDescent="0.2"/>
    <row r="134" spans="7:7" x14ac:dyDescent="0.2"/>
    <row r="135" spans="7:7" ht="18" x14ac:dyDescent="0.25">
      <c r="G135" s="161"/>
    </row>
    <row r="136" spans="7:7" x14ac:dyDescent="0.2"/>
    <row r="137" spans="7:7" x14ac:dyDescent="0.2"/>
    <row r="138" spans="7:7" x14ac:dyDescent="0.2"/>
    <row r="139" spans="7:7" x14ac:dyDescent="0.2"/>
    <row r="140" spans="7:7" x14ac:dyDescent="0.2"/>
    <row r="141" spans="7:7" x14ac:dyDescent="0.2"/>
    <row r="142" spans="7:7" x14ac:dyDescent="0.2"/>
    <row r="143" spans="7:7" x14ac:dyDescent="0.2"/>
    <row r="144" spans="7:7" x14ac:dyDescent="0.2"/>
    <row r="145" spans="12:17" x14ac:dyDescent="0.2"/>
    <row r="146" spans="12:17" x14ac:dyDescent="0.2"/>
    <row r="147" spans="12:17" x14ac:dyDescent="0.2"/>
    <row r="148" spans="12:17" x14ac:dyDescent="0.2"/>
    <row r="149" spans="12:17" x14ac:dyDescent="0.2"/>
    <row r="150" spans="12:17" x14ac:dyDescent="0.2"/>
    <row r="151" spans="12:17" x14ac:dyDescent="0.2"/>
    <row r="152" spans="12:17" x14ac:dyDescent="0.2"/>
    <row r="153" spans="12:17" x14ac:dyDescent="0.2">
      <c r="L153" s="5"/>
      <c r="M153" s="5"/>
      <c r="N153" s="5"/>
      <c r="O153" s="5"/>
      <c r="P153" s="5"/>
      <c r="Q153" s="5"/>
    </row>
    <row r="154" spans="12:17" x14ac:dyDescent="0.2">
      <c r="L154" s="5"/>
      <c r="M154" s="5"/>
      <c r="N154" s="5"/>
      <c r="O154" s="5"/>
      <c r="P154" s="5"/>
      <c r="Q154" s="5"/>
    </row>
    <row r="155" spans="12:17" x14ac:dyDescent="0.2">
      <c r="L155" s="5"/>
      <c r="M155" s="277"/>
      <c r="N155" s="277"/>
      <c r="O155" s="277"/>
      <c r="P155" s="5"/>
      <c r="Q155" s="5"/>
    </row>
    <row r="156" spans="12:17" x14ac:dyDescent="0.2">
      <c r="L156" s="5"/>
      <c r="M156" s="277"/>
      <c r="N156" s="277"/>
      <c r="O156" s="277"/>
      <c r="P156" s="5"/>
      <c r="Q156" s="5"/>
    </row>
    <row r="157" spans="12:17" x14ac:dyDescent="0.2">
      <c r="L157" s="5"/>
      <c r="M157" s="477" t="s">
        <v>220</v>
      </c>
      <c r="N157" s="477"/>
      <c r="O157" s="477">
        <f>'% Habitat Score'!J38</f>
        <v>0</v>
      </c>
      <c r="P157" s="5"/>
      <c r="Q157" s="5"/>
    </row>
    <row r="158" spans="12:17" x14ac:dyDescent="0.2">
      <c r="L158" s="5"/>
      <c r="M158" s="477" t="s">
        <v>221</v>
      </c>
      <c r="N158" s="477"/>
      <c r="O158" s="477">
        <f>'% Habitat Score'!J40</f>
        <v>0</v>
      </c>
      <c r="P158" s="5"/>
      <c r="Q158" s="5"/>
    </row>
    <row r="159" spans="12:17" x14ac:dyDescent="0.2">
      <c r="L159" s="5"/>
      <c r="M159" s="477" t="s">
        <v>222</v>
      </c>
      <c r="N159" s="477"/>
      <c r="O159" s="477">
        <f>'% Habitat Score'!J41</f>
        <v>0</v>
      </c>
      <c r="P159" s="5"/>
      <c r="Q159" s="5"/>
    </row>
    <row r="160" spans="12:17" x14ac:dyDescent="0.2">
      <c r="L160" s="5"/>
      <c r="M160" s="478" t="s">
        <v>224</v>
      </c>
      <c r="N160" s="478" t="str">
        <f t="shared" ref="N160:N179" si="0">M160&amp;" - "&amp;ROUND(O160, 2)&amp;" ha "</f>
        <v xml:space="preserve">Annual wildflowers - 0 ha </v>
      </c>
      <c r="O160" s="477">
        <f>'% Habitat Score'!J59</f>
        <v>0</v>
      </c>
      <c r="P160" s="5"/>
      <c r="Q160" s="5"/>
    </row>
    <row r="161" spans="12:17" x14ac:dyDescent="0.2">
      <c r="L161" s="5"/>
      <c r="M161" s="478" t="s">
        <v>225</v>
      </c>
      <c r="N161" s="478" t="str">
        <f t="shared" si="0"/>
        <v xml:space="preserve">Nectar and pollen mix - 0 ha </v>
      </c>
      <c r="O161" s="477">
        <f>'% Habitat Score'!J60</f>
        <v>0</v>
      </c>
      <c r="P161" s="5"/>
      <c r="Q161" s="5"/>
    </row>
    <row r="162" spans="12:17" x14ac:dyDescent="0.2">
      <c r="L162" s="5"/>
      <c r="M162" s="478" t="s">
        <v>226</v>
      </c>
      <c r="N162" s="478" t="str">
        <f t="shared" si="0"/>
        <v xml:space="preserve">Rough grasses - 0 ha </v>
      </c>
      <c r="O162" s="477">
        <f>'% Habitat Score'!J61</f>
        <v>0</v>
      </c>
      <c r="P162" s="5"/>
      <c r="Q162" s="5"/>
    </row>
    <row r="163" spans="12:17" x14ac:dyDescent="0.2">
      <c r="L163" s="5"/>
      <c r="M163" s="478" t="s">
        <v>227</v>
      </c>
      <c r="N163" s="478" t="str">
        <f t="shared" si="0"/>
        <v xml:space="preserve">Winter feed crop for wild birds - 0 ha </v>
      </c>
      <c r="O163" s="477">
        <f>'% Habitat Score'!J62</f>
        <v>0</v>
      </c>
      <c r="P163" s="5"/>
      <c r="Q163" s="5"/>
    </row>
    <row r="164" spans="12:17" x14ac:dyDescent="0.2">
      <c r="L164" s="5"/>
      <c r="M164" s="478" t="s">
        <v>99</v>
      </c>
      <c r="N164" s="478" t="str">
        <f t="shared" si="0"/>
        <v xml:space="preserve">Riparian Buffers - 0 ha </v>
      </c>
      <c r="O164" s="477">
        <f>'% Habitat Score'!J57</f>
        <v>0</v>
      </c>
      <c r="P164" s="5"/>
      <c r="Q164" s="5"/>
    </row>
    <row r="165" spans="12:17" x14ac:dyDescent="0.2">
      <c r="L165" s="5"/>
      <c r="M165" s="478" t="s">
        <v>97</v>
      </c>
      <c r="N165" s="478" t="str">
        <f t="shared" si="0"/>
        <v xml:space="preserve">Hedgerows - 0 ha </v>
      </c>
      <c r="O165" s="481" t="str">
        <f>'% Habitat Score'!I50</f>
        <v>0</v>
      </c>
      <c r="P165" s="5"/>
      <c r="Q165" s="5"/>
    </row>
    <row r="166" spans="12:17" x14ac:dyDescent="0.2">
      <c r="L166" s="5"/>
      <c r="M166" s="477" t="s">
        <v>228</v>
      </c>
      <c r="N166" s="478" t="str">
        <f t="shared" si="0"/>
        <v xml:space="preserve">All other field boundary habitats - 0 ha </v>
      </c>
      <c r="O166" s="479" t="str">
        <f>'% Habitat Score'!I51</f>
        <v>0</v>
      </c>
      <c r="P166" s="5"/>
      <c r="Q166" s="5"/>
    </row>
    <row r="167" spans="12:17" x14ac:dyDescent="0.2">
      <c r="L167" s="5"/>
      <c r="M167" s="478" t="s">
        <v>447</v>
      </c>
      <c r="N167" s="478" t="str">
        <f>M167&amp;" - "&amp;ROUND(O167, 2)&amp;" ha "</f>
        <v xml:space="preserve">Semi-natural Grasslands - 0 ha </v>
      </c>
      <c r="O167" s="477">
        <f>'% Habitat Score'!I66</f>
        <v>0</v>
      </c>
      <c r="P167" s="5"/>
      <c r="Q167" s="5"/>
    </row>
    <row r="168" spans="12:17" x14ac:dyDescent="0.2">
      <c r="L168" s="5"/>
      <c r="M168" s="478" t="s">
        <v>319</v>
      </c>
      <c r="N168" s="478" t="str">
        <f t="shared" si="0"/>
        <v xml:space="preserve">Moorland - 0 ha </v>
      </c>
      <c r="O168" s="477">
        <f>'% Habitat Score'!I67</f>
        <v>0</v>
      </c>
      <c r="P168" s="5"/>
    </row>
    <row r="169" spans="12:17" x14ac:dyDescent="0.2">
      <c r="L169" s="5"/>
      <c r="M169" s="478" t="s">
        <v>33</v>
      </c>
      <c r="N169" s="478" t="str">
        <f t="shared" si="0"/>
        <v xml:space="preserve">Intact lowland raised bog - 0 ha </v>
      </c>
      <c r="O169" s="477">
        <f>'% Habitat Score'!I68</f>
        <v>0</v>
      </c>
      <c r="P169" s="5"/>
    </row>
    <row r="170" spans="12:17" x14ac:dyDescent="0.2">
      <c r="L170" s="5"/>
      <c r="M170" s="478" t="s">
        <v>182</v>
      </c>
      <c r="N170" s="478" t="str">
        <f t="shared" si="0"/>
        <v xml:space="preserve">Broadleaf Woodland - 0 ha </v>
      </c>
      <c r="O170" s="477">
        <f>'% Habitat Score'!I69</f>
        <v>0</v>
      </c>
      <c r="P170" s="5"/>
    </row>
    <row r="171" spans="12:17" x14ac:dyDescent="0.2">
      <c r="L171" s="5"/>
      <c r="M171" s="478" t="s">
        <v>160</v>
      </c>
      <c r="N171" s="478" t="str">
        <f t="shared" si="0"/>
        <v xml:space="preserve">Conifer Woodland - 0 ha </v>
      </c>
      <c r="O171" s="477">
        <f>'% Habitat Score'!I70</f>
        <v>0</v>
      </c>
      <c r="P171" s="5"/>
    </row>
    <row r="172" spans="12:17" x14ac:dyDescent="0.2">
      <c r="L172" s="5"/>
      <c r="M172" s="478" t="s">
        <v>34</v>
      </c>
      <c r="N172" s="478" t="str">
        <f t="shared" si="0"/>
        <v xml:space="preserve">Coastal habitats - 0 ha </v>
      </c>
      <c r="O172" s="477">
        <f>'% Habitat Score'!I71</f>
        <v>0</v>
      </c>
      <c r="P172" s="5"/>
    </row>
    <row r="173" spans="12:17" x14ac:dyDescent="0.2">
      <c r="L173" s="5"/>
      <c r="M173" s="478" t="s">
        <v>35</v>
      </c>
      <c r="N173" s="478" t="str">
        <f t="shared" si="0"/>
        <v xml:space="preserve">Wetlands - 0 ha </v>
      </c>
      <c r="O173" s="477">
        <f>'% Habitat Score'!I72</f>
        <v>0</v>
      </c>
      <c r="P173" s="5"/>
    </row>
    <row r="174" spans="12:17" x14ac:dyDescent="0.2">
      <c r="L174" s="5"/>
      <c r="M174" s="480" t="s">
        <v>36</v>
      </c>
      <c r="N174" s="478" t="str">
        <f t="shared" si="0"/>
        <v xml:space="preserve">Parkland - 0 ha </v>
      </c>
      <c r="O174" s="477">
        <f>'% Habitat Score'!I73</f>
        <v>0</v>
      </c>
      <c r="P174" s="5"/>
    </row>
    <row r="175" spans="12:17" x14ac:dyDescent="0.2">
      <c r="L175" s="5"/>
      <c r="M175" s="480" t="s">
        <v>320</v>
      </c>
      <c r="N175" s="478" t="str">
        <f t="shared" si="0"/>
        <v xml:space="preserve">Breeding wader - 0 ha </v>
      </c>
      <c r="O175" s="477">
        <f>'% Habitat Score'!I74</f>
        <v>0</v>
      </c>
      <c r="P175" s="5"/>
    </row>
    <row r="176" spans="12:17" x14ac:dyDescent="0.2">
      <c r="L176" s="5"/>
      <c r="M176" s="478" t="s">
        <v>37</v>
      </c>
      <c r="N176" s="478" t="str">
        <f t="shared" si="0"/>
        <v xml:space="preserve">Traditional orchard - 0 ha </v>
      </c>
      <c r="O176" s="477">
        <f>'% Habitat Score'!I75</f>
        <v>0</v>
      </c>
      <c r="P176" s="5"/>
    </row>
    <row r="177" spans="12:16" x14ac:dyDescent="0.2">
      <c r="L177" s="5"/>
      <c r="M177" s="478" t="s">
        <v>5</v>
      </c>
      <c r="N177" s="478" t="str">
        <f t="shared" si="0"/>
        <v xml:space="preserve">Agroforestry - 0 ha </v>
      </c>
      <c r="O177" s="477">
        <f>'% Habitat Score'!I76</f>
        <v>0</v>
      </c>
      <c r="P177" s="5"/>
    </row>
    <row r="178" spans="12:16" x14ac:dyDescent="0.2">
      <c r="L178" s="5"/>
      <c r="M178" s="478" t="s">
        <v>318</v>
      </c>
      <c r="N178" s="478" t="str">
        <f t="shared" si="0"/>
        <v xml:space="preserve">Winter Stubble - 0 ha </v>
      </c>
      <c r="O178" s="477">
        <f>'% Habitat Score'!N77</f>
        <v>0</v>
      </c>
      <c r="P178" s="5"/>
    </row>
    <row r="179" spans="12:16" x14ac:dyDescent="0.2">
      <c r="L179" s="5"/>
      <c r="M179" s="478" t="s">
        <v>279</v>
      </c>
      <c r="N179" s="478" t="str">
        <f t="shared" si="0"/>
        <v xml:space="preserve">Farm Pond - 0 ha </v>
      </c>
      <c r="O179" s="477">
        <f>'% Habitat Score'!I78</f>
        <v>0</v>
      </c>
      <c r="P179" s="5"/>
    </row>
    <row r="180" spans="12:16" x14ac:dyDescent="0.2">
      <c r="L180" s="5"/>
      <c r="M180" s="477"/>
      <c r="N180" s="477"/>
      <c r="O180" s="477"/>
      <c r="P180" s="5"/>
    </row>
    <row r="181" spans="12:16" x14ac:dyDescent="0.2">
      <c r="L181" s="5"/>
      <c r="M181" s="477"/>
      <c r="N181" s="477"/>
      <c r="O181" s="477"/>
      <c r="P181" s="5"/>
    </row>
    <row r="182" spans="12:16" x14ac:dyDescent="0.2">
      <c r="L182" s="5"/>
      <c r="M182" s="477"/>
      <c r="N182" s="477"/>
      <c r="O182" s="477"/>
      <c r="P182" s="5"/>
    </row>
    <row r="183" spans="12:16" x14ac:dyDescent="0.2">
      <c r="L183" s="5"/>
      <c r="M183" s="957"/>
      <c r="N183" s="957"/>
      <c r="O183" s="957"/>
      <c r="P183" s="5"/>
    </row>
    <row r="184" spans="12:16" x14ac:dyDescent="0.2">
      <c r="L184" s="5"/>
      <c r="M184" s="957"/>
      <c r="N184" s="957"/>
      <c r="O184" s="957"/>
      <c r="P184" s="5"/>
    </row>
    <row r="185" spans="12:16" x14ac:dyDescent="0.2">
      <c r="L185" s="5"/>
      <c r="M185" s="957"/>
      <c r="N185" s="957"/>
      <c r="O185" s="957"/>
      <c r="P185" s="5"/>
    </row>
    <row r="186" spans="12:16" x14ac:dyDescent="0.2">
      <c r="L186" s="5"/>
      <c r="M186" s="957"/>
      <c r="N186" s="957"/>
      <c r="O186" s="957"/>
      <c r="P186" s="5"/>
    </row>
    <row r="187" spans="12:16" x14ac:dyDescent="0.2">
      <c r="L187" s="5"/>
      <c r="M187" s="5"/>
      <c r="N187" s="5"/>
      <c r="O187" s="5"/>
      <c r="P187" s="5"/>
    </row>
    <row r="188" spans="12:16" x14ac:dyDescent="0.2">
      <c r="L188" s="5"/>
      <c r="M188" s="5"/>
      <c r="N188" s="5"/>
      <c r="O188" s="5"/>
      <c r="P188" s="5"/>
    </row>
    <row r="189" spans="12:16" x14ac:dyDescent="0.2">
      <c r="L189" s="5"/>
      <c r="M189" s="5"/>
      <c r="N189" s="5"/>
      <c r="O189" s="5"/>
      <c r="P189" s="5"/>
    </row>
    <row r="190" spans="12:16" x14ac:dyDescent="0.2">
      <c r="L190" s="5"/>
      <c r="M190" s="5"/>
      <c r="N190" s="5"/>
      <c r="O190" s="5"/>
      <c r="P190" s="5"/>
    </row>
    <row r="191" spans="12:16" x14ac:dyDescent="0.2">
      <c r="L191" s="5"/>
      <c r="M191" s="5"/>
      <c r="N191" s="5"/>
      <c r="O191" s="5"/>
      <c r="P191" s="5"/>
    </row>
    <row r="192" spans="12:16" x14ac:dyDescent="0.2">
      <c r="L192" s="5"/>
      <c r="M192" s="5"/>
      <c r="N192" s="5"/>
      <c r="O192" s="5"/>
      <c r="P192" s="5"/>
    </row>
    <row r="193" spans="13:15" x14ac:dyDescent="0.2">
      <c r="M193" s="5"/>
      <c r="N193" s="5"/>
      <c r="O193" s="5"/>
    </row>
    <row r="194" spans="13:15" x14ac:dyDescent="0.2"/>
    <row r="195" spans="13:15" x14ac:dyDescent="0.2"/>
    <row r="196" spans="13:15" x14ac:dyDescent="0.2"/>
    <row r="197" spans="13:15" x14ac:dyDescent="0.2"/>
    <row r="198" spans="13:15" x14ac:dyDescent="0.2"/>
    <row r="199" spans="13:15" x14ac:dyDescent="0.2"/>
    <row r="200" spans="13:15" x14ac:dyDescent="0.2"/>
    <row r="201" spans="13:15" x14ac:dyDescent="0.2"/>
  </sheetData>
  <sheetProtection algorithmName="SHA-512" hashValue="xZd7lYDf2f2Td/gqmrtw9LHdwc89yoMKE0EGuQfAv1DMUOKqgN9yr2ioyhtr4WENP5PZiuSVS5Dwp+mBFbnt9g==" saltValue="/jsUDKwFERdiUmFFEOCurg==" spinCount="100000" sheet="1" objects="1" scenarios="1" selectLockedCells="1"/>
  <mergeCells count="1">
    <mergeCell ref="C2:D2"/>
  </mergeCells>
  <pageMargins left="0.23622047244094491" right="0.23622047244094491" top="0.74803149606299213" bottom="0.74803149606299213" header="0.31496062992125984" footer="0.31496062992125984"/>
  <pageSetup paperSize="9" orientation="landscape" r:id="rId1"/>
  <headerFooter>
    <oddHeader>&amp;LDiagrams of Results&amp;CCAFRE BioTool&amp;R&amp;D</oddHeader>
    <oddFooter xml:space="preserve">&amp;CTo allow CAFRE staff to compare and analyse results from a range of different farms, please email your completed assessment tool to: CAFREFarmBioTool@cafre.ac.uk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58D74-94CB-4A15-8A17-87011363111E}">
  <sheetPr codeName="Sheet5"/>
  <dimension ref="A1:BG15"/>
  <sheetViews>
    <sheetView showGridLines="0" showRowColHeaders="0" zoomScale="120" zoomScaleNormal="120" workbookViewId="0">
      <selection activeCell="A5" sqref="A5"/>
    </sheetView>
  </sheetViews>
  <sheetFormatPr defaultRowHeight="12.75" x14ac:dyDescent="0.2"/>
  <cols>
    <col min="1" max="1" width="10.5703125" bestFit="1" customWidth="1"/>
    <col min="2" max="2" width="2.85546875" customWidth="1"/>
    <col min="4" max="4" width="5.85546875" style="23" customWidth="1"/>
    <col min="5" max="5" width="8.42578125" style="422" customWidth="1"/>
    <col min="6" max="6" width="19" customWidth="1"/>
    <col min="7" max="7" width="5.28515625" bestFit="1" customWidth="1"/>
    <col min="8" max="8" width="10.140625" bestFit="1" customWidth="1"/>
    <col min="9" max="9" width="12.42578125" bestFit="1" customWidth="1"/>
    <col min="10" max="10" width="6.28515625" bestFit="1" customWidth="1"/>
    <col min="11" max="11" width="4.7109375" bestFit="1" customWidth="1"/>
    <col min="12" max="12" width="6.85546875" bestFit="1" customWidth="1"/>
    <col min="13" max="13" width="6.28515625" bestFit="1" customWidth="1"/>
    <col min="14" max="14" width="10.42578125" bestFit="1" customWidth="1"/>
    <col min="15" max="15" width="9.28515625" bestFit="1" customWidth="1"/>
    <col min="16" max="16" width="9.28515625" customWidth="1"/>
    <col min="17" max="17" width="17.42578125" bestFit="1" customWidth="1"/>
    <col min="18" max="19" width="7.85546875" customWidth="1"/>
    <col min="20" max="20" width="14" style="414" customWidth="1"/>
    <col min="21" max="21" width="3" style="414" customWidth="1"/>
    <col min="22" max="22" width="9.28515625" customWidth="1"/>
    <col min="23" max="23" width="11.28515625" customWidth="1"/>
    <col min="24" max="25" width="9.5703125" customWidth="1"/>
    <col min="26" max="26" width="13" customWidth="1"/>
    <col min="27" max="27" width="3" customWidth="1"/>
    <col min="28" max="29" width="12.85546875" customWidth="1"/>
    <col min="30" max="30" width="12.140625" customWidth="1"/>
    <col min="31" max="31" width="11.42578125" customWidth="1"/>
    <col min="32" max="32" width="13.7109375" customWidth="1"/>
    <col min="33" max="33" width="3" style="414" customWidth="1"/>
    <col min="34" max="34" width="9.5703125" style="414" customWidth="1"/>
    <col min="35" max="36" width="9.5703125" customWidth="1"/>
    <col min="37" max="37" width="11.85546875" customWidth="1"/>
    <col min="38" max="38" width="11.7109375" customWidth="1"/>
    <col min="39" max="39" width="10" customWidth="1"/>
    <col min="40" max="40" width="13.42578125" customWidth="1"/>
    <col min="41" max="41" width="15.85546875" customWidth="1"/>
    <col min="42" max="43" width="9.5703125" customWidth="1"/>
    <col min="44" max="44" width="11.5703125" customWidth="1"/>
    <col min="45" max="45" width="24.140625" customWidth="1"/>
    <col min="46" max="46" width="17" customWidth="1"/>
    <col min="47" max="47" width="15.140625" customWidth="1"/>
    <col min="48" max="48" width="11.85546875" customWidth="1"/>
    <col min="49" max="49" width="19.5703125" customWidth="1"/>
    <col min="50" max="50" width="18.7109375" customWidth="1"/>
    <col min="51" max="51" width="18.85546875" customWidth="1"/>
    <col min="52" max="52" width="11.28515625" customWidth="1"/>
    <col min="53" max="53" width="4" customWidth="1"/>
    <col min="54" max="55" width="9.5703125" customWidth="1"/>
    <col min="56" max="56" width="11.5703125" customWidth="1"/>
    <col min="57" max="57" width="11.7109375" customWidth="1"/>
    <col min="58" max="58" width="12.140625" customWidth="1"/>
    <col min="59" max="59" width="4" customWidth="1"/>
  </cols>
  <sheetData>
    <row r="1" spans="1:59" ht="61.5" customHeight="1" thickBot="1" x14ac:dyDescent="0.25">
      <c r="E1" s="937" t="s">
        <v>445</v>
      </c>
      <c r="F1" s="937"/>
      <c r="G1" s="937"/>
      <c r="H1" s="937"/>
      <c r="I1" s="937"/>
      <c r="J1" s="937"/>
      <c r="K1" s="937"/>
      <c r="L1" s="937"/>
      <c r="M1" s="937"/>
      <c r="N1" s="937"/>
      <c r="O1" s="937"/>
      <c r="P1" s="937"/>
      <c r="Q1" s="937"/>
      <c r="R1" s="937"/>
      <c r="S1" s="12"/>
      <c r="T1" s="12"/>
      <c r="U1" s="12"/>
      <c r="V1" s="12"/>
      <c r="W1" s="12"/>
      <c r="X1" s="12"/>
      <c r="Y1" s="12"/>
      <c r="Z1" s="12"/>
      <c r="AA1" s="12"/>
      <c r="AB1" s="12"/>
      <c r="AC1" s="12"/>
      <c r="AD1" s="12"/>
      <c r="AE1" s="12"/>
      <c r="AF1" s="12"/>
      <c r="AG1" s="12"/>
      <c r="AH1" s="12"/>
      <c r="AI1" s="12"/>
      <c r="AJ1" s="12"/>
      <c r="AK1" s="12"/>
      <c r="AL1" s="12"/>
      <c r="AM1" s="12"/>
      <c r="AN1" s="12"/>
      <c r="AO1" s="12"/>
      <c r="AP1" s="405"/>
      <c r="AQ1" s="405"/>
      <c r="AR1" s="405"/>
      <c r="AS1" s="405"/>
      <c r="AT1" s="405"/>
      <c r="AU1" s="405"/>
      <c r="AV1" s="405"/>
      <c r="AW1" s="405"/>
      <c r="AX1" s="405"/>
      <c r="AY1" s="405"/>
      <c r="AZ1" s="405"/>
    </row>
    <row r="2" spans="1:59" ht="16.5" thickBot="1" x14ac:dyDescent="0.3">
      <c r="A2" s="534"/>
      <c r="B2" s="535"/>
      <c r="C2" s="538"/>
      <c r="D2" s="944" t="s">
        <v>370</v>
      </c>
      <c r="E2" s="944"/>
      <c r="F2" s="944"/>
      <c r="G2" s="944"/>
      <c r="H2" s="944"/>
      <c r="I2" s="944"/>
      <c r="J2" s="944"/>
      <c r="K2" s="944"/>
      <c r="L2" s="944"/>
      <c r="M2" s="944"/>
      <c r="N2" s="944"/>
      <c r="O2" s="944"/>
      <c r="P2" s="944"/>
      <c r="Q2" s="944"/>
      <c r="R2" s="944"/>
      <c r="S2" s="944"/>
      <c r="T2" s="945"/>
      <c r="U2" s="203"/>
      <c r="V2" s="941" t="s">
        <v>392</v>
      </c>
      <c r="W2" s="942"/>
      <c r="X2" s="942"/>
      <c r="Y2" s="942"/>
      <c r="Z2" s="943"/>
      <c r="AB2" s="941" t="s">
        <v>393</v>
      </c>
      <c r="AC2" s="942"/>
      <c r="AD2" s="942"/>
      <c r="AE2" s="942"/>
      <c r="AF2" s="943"/>
      <c r="AG2" s="203"/>
      <c r="AH2" s="946" t="s">
        <v>371</v>
      </c>
      <c r="AI2" s="947"/>
      <c r="AJ2" s="947"/>
      <c r="AK2" s="947"/>
      <c r="AL2" s="947"/>
      <c r="AM2" s="948"/>
      <c r="AN2" s="949" t="s">
        <v>372</v>
      </c>
      <c r="AO2" s="950"/>
      <c r="AP2" s="950"/>
      <c r="AQ2" s="950"/>
      <c r="AR2" s="950"/>
      <c r="AS2" s="951"/>
      <c r="AT2" s="952" t="s">
        <v>373</v>
      </c>
      <c r="AU2" s="953"/>
      <c r="AV2" s="953"/>
      <c r="AW2" s="954"/>
      <c r="AX2" s="955" t="s">
        <v>374</v>
      </c>
      <c r="AY2" s="956"/>
      <c r="AZ2" s="402" t="s">
        <v>45</v>
      </c>
      <c r="BB2" s="938" t="s">
        <v>375</v>
      </c>
      <c r="BC2" s="939"/>
      <c r="BD2" s="939"/>
      <c r="BE2" s="939"/>
      <c r="BF2" s="940"/>
      <c r="BG2" s="408"/>
    </row>
    <row r="3" spans="1:59" s="20" customFormat="1" ht="84" customHeight="1" thickBot="1" x14ac:dyDescent="0.25">
      <c r="A3" s="536" t="s">
        <v>444</v>
      </c>
      <c r="B3" s="537"/>
      <c r="C3" s="413" t="s">
        <v>377</v>
      </c>
      <c r="D3" s="403" t="s">
        <v>331</v>
      </c>
      <c r="E3" s="398" t="s">
        <v>348</v>
      </c>
      <c r="F3" s="398" t="s">
        <v>349</v>
      </c>
      <c r="G3" s="399" t="s">
        <v>339</v>
      </c>
      <c r="H3" s="400" t="s">
        <v>340</v>
      </c>
      <c r="I3" s="400" t="s">
        <v>305</v>
      </c>
      <c r="J3" s="400" t="s">
        <v>341</v>
      </c>
      <c r="K3" s="400" t="s">
        <v>342</v>
      </c>
      <c r="L3" s="400" t="s">
        <v>343</v>
      </c>
      <c r="M3" s="400" t="s">
        <v>344</v>
      </c>
      <c r="N3" s="400" t="s">
        <v>345</v>
      </c>
      <c r="O3" s="400" t="s">
        <v>346</v>
      </c>
      <c r="P3" s="400" t="s">
        <v>400</v>
      </c>
      <c r="Q3" s="401" t="s">
        <v>347</v>
      </c>
      <c r="R3" s="404" t="s">
        <v>350</v>
      </c>
      <c r="S3" s="233" t="s">
        <v>332</v>
      </c>
      <c r="T3" s="406" t="s">
        <v>351</v>
      </c>
      <c r="U3" s="23"/>
      <c r="V3" s="412" t="s">
        <v>383</v>
      </c>
      <c r="W3" s="233" t="s">
        <v>384</v>
      </c>
      <c r="X3" s="233" t="s">
        <v>385</v>
      </c>
      <c r="Y3" s="233" t="s">
        <v>386</v>
      </c>
      <c r="Z3" s="234" t="s">
        <v>105</v>
      </c>
      <c r="AA3" s="411"/>
      <c r="AB3" s="412" t="s">
        <v>387</v>
      </c>
      <c r="AC3" s="233" t="s">
        <v>388</v>
      </c>
      <c r="AD3" s="233" t="s">
        <v>389</v>
      </c>
      <c r="AE3" s="233" t="s">
        <v>390</v>
      </c>
      <c r="AF3" s="234" t="s">
        <v>391</v>
      </c>
      <c r="AG3" s="23"/>
      <c r="AH3" s="399" t="s">
        <v>352</v>
      </c>
      <c r="AI3" s="400" t="s">
        <v>353</v>
      </c>
      <c r="AJ3" s="400" t="s">
        <v>354</v>
      </c>
      <c r="AK3" s="400" t="s">
        <v>355</v>
      </c>
      <c r="AL3" s="400" t="s">
        <v>356</v>
      </c>
      <c r="AM3" s="401" t="s">
        <v>357</v>
      </c>
      <c r="AN3" s="233" t="s">
        <v>358</v>
      </c>
      <c r="AO3" s="400" t="s">
        <v>359</v>
      </c>
      <c r="AP3" s="404" t="s">
        <v>360</v>
      </c>
      <c r="AQ3" s="400" t="s">
        <v>361</v>
      </c>
      <c r="AR3" s="400" t="s">
        <v>362</v>
      </c>
      <c r="AS3" s="400" t="s">
        <v>363</v>
      </c>
      <c r="AT3" s="399" t="s">
        <v>364</v>
      </c>
      <c r="AU3" s="400" t="s">
        <v>365</v>
      </c>
      <c r="AV3" s="400" t="s">
        <v>366</v>
      </c>
      <c r="AW3" s="401" t="s">
        <v>367</v>
      </c>
      <c r="AX3" s="400" t="s">
        <v>369</v>
      </c>
      <c r="AY3" s="400" t="s">
        <v>368</v>
      </c>
      <c r="AZ3" s="407" t="s">
        <v>376</v>
      </c>
      <c r="BB3" s="412" t="s">
        <v>378</v>
      </c>
      <c r="BC3" s="233" t="s">
        <v>379</v>
      </c>
      <c r="BD3" s="233" t="s">
        <v>380</v>
      </c>
      <c r="BE3" s="233" t="s">
        <v>381</v>
      </c>
      <c r="BF3" s="234" t="s">
        <v>382</v>
      </c>
      <c r="BG3" s="409"/>
    </row>
    <row r="4" spans="1:59" s="410" customFormat="1" x14ac:dyDescent="0.2">
      <c r="A4" s="539">
        <v>45064</v>
      </c>
      <c r="B4" s="540"/>
      <c r="C4" s="540"/>
      <c r="D4" s="541">
        <f>'% Habitat Score'!J19</f>
        <v>2023</v>
      </c>
      <c r="E4" s="542" t="str">
        <f>IF('% Habitat Score'!J20="Northern Ireland","3",IF(AND('% Habitat Score'!J20="Ireland"),"2",IF(AND('% Habitat Score'!J20="Other"),"1")))</f>
        <v>3</v>
      </c>
      <c r="F4" s="542">
        <f>IF('% Habitat Score'!J21="Antrim","6",IF(AND('% Habitat Score'!J21="Derry/Londonderry"),"5",IF(AND('% Habitat Score'!J21="Tyrone"),"4",IF(AND('% Habitat Score'!J21="Fermanagh"),"3",IF(AND('% Habitat Score'!J21="Armagh"),"2",IF(AND('% Habitat Score'!J21="Down"),"1",))))))</f>
        <v>0</v>
      </c>
      <c r="G4" s="543" t="str">
        <f>IF('% Habitat Score'!J23= "Yes", "Dairy", " ")</f>
        <v xml:space="preserve"> </v>
      </c>
      <c r="H4" s="543" t="str">
        <f>IF('% Habitat Score'!J24= "Yes", "Beef Cattle", " ")</f>
        <v xml:space="preserve"> </v>
      </c>
      <c r="I4" s="543" t="str">
        <f>IF('% Habitat Score'!J25= "Yes", "Suckler Cows", " ")</f>
        <v xml:space="preserve"> </v>
      </c>
      <c r="J4" s="543" t="str">
        <f>IF('% Habitat Score'!J26= "Yes", "Sheep", " ")</f>
        <v xml:space="preserve"> </v>
      </c>
      <c r="K4" s="543" t="str">
        <f>IF('% Habitat Score'!J27= "Yes", "Pigs", " ")</f>
        <v xml:space="preserve"> </v>
      </c>
      <c r="L4" s="543" t="str">
        <f>IF('% Habitat Score'!J28= "Yes", "Poultry", " ")</f>
        <v xml:space="preserve"> </v>
      </c>
      <c r="M4" s="543" t="str">
        <f>IF('% Habitat Score'!J29= "Yes", "Arable", " ")</f>
        <v xml:space="preserve"> </v>
      </c>
      <c r="N4" s="543" t="str">
        <f>IF('% Habitat Score'!J30= "Yes", "Horticulture", " ")</f>
        <v xml:space="preserve"> </v>
      </c>
      <c r="O4" s="543" t="str">
        <f>IF('% Habitat Score'!J31= "Yes", "Vegetables", " ")</f>
        <v xml:space="preserve"> </v>
      </c>
      <c r="P4" s="543" t="str">
        <f>IF('% Habitat Score'!J32= "Yes", "Equine", " ")</f>
        <v xml:space="preserve"> </v>
      </c>
      <c r="Q4" s="542">
        <f>'% Habitat Score'!I33</f>
        <v>0</v>
      </c>
      <c r="R4" s="544" t="b">
        <f>IF('% Habitat Score'!I35="Lowland","3",IF(AND('% Habitat Score'!I35="Disadvantaged Area"),"2",IF(AND('% Habitat Score'!I35="Severely Disadvantaged Area"),"1")))</f>
        <v>0</v>
      </c>
      <c r="S4" s="545">
        <f>Results!D8</f>
        <v>0</v>
      </c>
      <c r="T4" s="546">
        <f>IF('% Habitat Score'!K53= "Yes - used the estimated figures", 1, 0)</f>
        <v>0</v>
      </c>
      <c r="V4" s="547">
        <f>Results!D9</f>
        <v>0</v>
      </c>
      <c r="W4" s="548">
        <f>Results!D10</f>
        <v>0</v>
      </c>
      <c r="X4" s="548">
        <f>Results!D11</f>
        <v>0</v>
      </c>
      <c r="Y4" s="548">
        <f>Results!D12</f>
        <v>0</v>
      </c>
      <c r="Z4" s="545" t="e">
        <f>Results!D13</f>
        <v>#DIV/0!</v>
      </c>
      <c r="AB4" s="549">
        <f>Results!D18</f>
        <v>0</v>
      </c>
      <c r="AC4" s="540">
        <f>Results!D19</f>
        <v>0</v>
      </c>
      <c r="AD4" s="540">
        <f>Results!D20</f>
        <v>0</v>
      </c>
      <c r="AE4" s="540">
        <f>Results!D21</f>
        <v>0</v>
      </c>
      <c r="AF4" s="546">
        <f>Results!D22</f>
        <v>0</v>
      </c>
      <c r="AH4" s="549">
        <f>Results!C30</f>
        <v>0</v>
      </c>
      <c r="AI4" s="540">
        <f>Results!C31</f>
        <v>0</v>
      </c>
      <c r="AJ4" s="540">
        <f>Results!C32</f>
        <v>0</v>
      </c>
      <c r="AK4" s="540">
        <f>Results!C33</f>
        <v>0</v>
      </c>
      <c r="AL4" s="540">
        <f>Results!C40</f>
        <v>0</v>
      </c>
      <c r="AM4" s="546">
        <f>Results!C47</f>
        <v>0</v>
      </c>
      <c r="AN4" s="540">
        <f>Results!C53</f>
        <v>0</v>
      </c>
      <c r="AO4" s="540">
        <f>Results!C61</f>
        <v>0</v>
      </c>
      <c r="AP4" s="540">
        <f>Results!C68</f>
        <v>0</v>
      </c>
      <c r="AQ4" s="540">
        <f>Results!C69</f>
        <v>0</v>
      </c>
      <c r="AR4" s="540">
        <f>Results!C70</f>
        <v>0</v>
      </c>
      <c r="AS4" s="546">
        <f>Results!C81</f>
        <v>0</v>
      </c>
      <c r="AT4" s="540">
        <f>Results!C83</f>
        <v>0</v>
      </c>
      <c r="AU4" s="540">
        <f>Results!C93</f>
        <v>0</v>
      </c>
      <c r="AV4" s="540">
        <f>Results!C103</f>
        <v>0</v>
      </c>
      <c r="AW4" s="546">
        <f>Results!C117</f>
        <v>0</v>
      </c>
      <c r="AX4" s="540" t="b">
        <f>IF(Results!F123="All the habitat land","3",IF(AND(Results!F123="Some of the habitat land"),"2",IF(AND(Results!F123="None of the habitat land"),"1")))</f>
        <v>0</v>
      </c>
      <c r="AY4" s="546">
        <f>Results!C124</f>
        <v>0</v>
      </c>
      <c r="AZ4" s="546">
        <f>SUM(AH4:AY4)</f>
        <v>0</v>
      </c>
      <c r="BB4" s="549">
        <f>Results!C90</f>
        <v>0</v>
      </c>
      <c r="BC4" s="540">
        <f>Results!C92</f>
        <v>0</v>
      </c>
      <c r="BD4" s="548" t="str">
        <f>Results!C102</f>
        <v xml:space="preserve"> </v>
      </c>
      <c r="BE4" s="548" t="str">
        <f>Results!C116</f>
        <v>Continue to the next page</v>
      </c>
      <c r="BF4" s="546">
        <f>Results!C122</f>
        <v>0</v>
      </c>
    </row>
    <row r="5" spans="1:59" s="415" customFormat="1" x14ac:dyDescent="0.2">
      <c r="D5" s="222"/>
      <c r="E5" s="394"/>
      <c r="H5" s="551"/>
      <c r="I5" s="410"/>
      <c r="J5" s="410"/>
      <c r="K5" s="410"/>
      <c r="T5" s="416"/>
      <c r="U5" s="416"/>
      <c r="AG5" s="416"/>
      <c r="AH5" s="410"/>
      <c r="AZ5" s="410"/>
    </row>
    <row r="6" spans="1:59" s="410" customFormat="1" x14ac:dyDescent="0.2">
      <c r="D6" s="222"/>
      <c r="E6" s="222"/>
      <c r="F6" s="222"/>
      <c r="G6" s="222"/>
      <c r="H6" s="222"/>
      <c r="I6" s="222"/>
      <c r="J6" s="222"/>
      <c r="K6" s="222"/>
      <c r="L6" s="222"/>
      <c r="M6" s="222"/>
      <c r="N6" s="222"/>
      <c r="O6" s="222"/>
      <c r="P6" s="222"/>
      <c r="Q6" s="222"/>
      <c r="R6" s="394"/>
      <c r="S6" s="550"/>
      <c r="V6" s="550"/>
      <c r="W6" s="550"/>
      <c r="X6" s="550"/>
      <c r="Y6" s="550"/>
      <c r="Z6" s="550"/>
      <c r="BD6" s="550"/>
      <c r="BE6" s="550"/>
    </row>
    <row r="7" spans="1:59" s="415" customFormat="1" x14ac:dyDescent="0.2">
      <c r="D7" s="222"/>
      <c r="E7" s="394"/>
      <c r="G7" s="410"/>
      <c r="L7" s="551"/>
      <c r="T7" s="416"/>
      <c r="U7" s="416"/>
      <c r="V7" s="550"/>
      <c r="W7" s="550"/>
      <c r="X7" s="550"/>
      <c r="Y7" s="550"/>
      <c r="Z7" s="550"/>
      <c r="AA7" s="410"/>
      <c r="AB7" s="410"/>
      <c r="AC7" s="410"/>
      <c r="AD7" s="410"/>
      <c r="AE7" s="410"/>
      <c r="AF7" s="410"/>
      <c r="AG7" s="416"/>
      <c r="AH7" s="410"/>
      <c r="AI7" s="410"/>
      <c r="AJ7" s="410"/>
      <c r="AK7" s="410"/>
      <c r="AL7" s="410"/>
      <c r="AM7" s="410"/>
      <c r="AN7" s="410"/>
      <c r="AO7" s="410"/>
      <c r="AP7" s="410"/>
      <c r="AQ7" s="410"/>
      <c r="AR7" s="410"/>
      <c r="AS7" s="410"/>
      <c r="AT7" s="410"/>
      <c r="AU7" s="410"/>
      <c r="AV7" s="410"/>
      <c r="AW7" s="410"/>
      <c r="AX7" s="410"/>
      <c r="AY7" s="410"/>
      <c r="AZ7" s="410"/>
      <c r="BA7" s="410"/>
      <c r="BB7" s="410"/>
      <c r="BC7" s="410"/>
      <c r="BD7" s="550"/>
      <c r="BE7" s="550"/>
      <c r="BF7" s="410"/>
      <c r="BG7" s="410"/>
    </row>
    <row r="8" spans="1:59" s="415" customFormat="1" x14ac:dyDescent="0.2">
      <c r="D8" s="222"/>
      <c r="E8" s="394"/>
      <c r="G8" s="410"/>
      <c r="J8" s="410"/>
      <c r="T8" s="416"/>
      <c r="U8" s="416"/>
      <c r="V8" s="550"/>
      <c r="W8" s="550"/>
      <c r="X8" s="550"/>
      <c r="Y8" s="550"/>
      <c r="Z8" s="550"/>
      <c r="AA8" s="410"/>
      <c r="AB8" s="410"/>
      <c r="AC8" s="410"/>
      <c r="AD8" s="410"/>
      <c r="AE8" s="410"/>
      <c r="AF8" s="410"/>
      <c r="AG8" s="416"/>
      <c r="AH8" s="410"/>
      <c r="AI8" s="410"/>
      <c r="AJ8" s="410"/>
      <c r="AK8" s="410"/>
      <c r="AL8" s="410"/>
      <c r="AM8" s="410"/>
      <c r="AN8" s="410"/>
      <c r="AO8" s="410"/>
      <c r="AP8" s="410"/>
      <c r="AQ8" s="410"/>
      <c r="AR8" s="410"/>
      <c r="AS8" s="410"/>
      <c r="AT8" s="410"/>
      <c r="AU8" s="410"/>
      <c r="AV8" s="410"/>
      <c r="AW8" s="410"/>
      <c r="AX8" s="410"/>
      <c r="AY8" s="410"/>
      <c r="AZ8" s="410"/>
      <c r="BA8" s="410"/>
      <c r="BB8" s="410"/>
      <c r="BC8" s="410"/>
      <c r="BD8" s="550"/>
      <c r="BE8" s="550"/>
      <c r="BF8" s="410"/>
      <c r="BG8" s="410"/>
    </row>
    <row r="9" spans="1:59" s="415" customFormat="1" x14ac:dyDescent="0.2">
      <c r="D9" s="222"/>
      <c r="E9" s="394"/>
      <c r="G9" s="410"/>
      <c r="L9" s="410"/>
      <c r="T9" s="416"/>
      <c r="U9" s="416"/>
      <c r="V9" s="550"/>
      <c r="W9" s="550"/>
      <c r="X9" s="550"/>
      <c r="Y9" s="550"/>
      <c r="Z9" s="550"/>
      <c r="AA9" s="410"/>
      <c r="AB9" s="410"/>
      <c r="AC9" s="410"/>
      <c r="AD9" s="410"/>
      <c r="AE9" s="410"/>
      <c r="AF9" s="410"/>
      <c r="AG9" s="416"/>
      <c r="AH9" s="410"/>
      <c r="AI9" s="410"/>
      <c r="AJ9" s="410"/>
      <c r="AK9" s="410"/>
      <c r="AL9" s="410"/>
      <c r="AM9" s="410"/>
      <c r="AN9" s="410"/>
      <c r="AO9" s="410"/>
      <c r="AP9" s="410"/>
      <c r="AQ9" s="410"/>
      <c r="AR9" s="410"/>
      <c r="AS9" s="410"/>
      <c r="AT9" s="410"/>
      <c r="AU9" s="410"/>
      <c r="AV9" s="410"/>
      <c r="AW9" s="410"/>
      <c r="AX9" s="410"/>
      <c r="AY9" s="410"/>
      <c r="AZ9" s="410"/>
      <c r="BA9" s="410"/>
      <c r="BB9" s="410"/>
      <c r="BC9" s="410"/>
      <c r="BD9" s="550"/>
      <c r="BE9" s="550"/>
      <c r="BF9" s="410"/>
      <c r="BG9" s="410"/>
    </row>
    <row r="10" spans="1:59" s="415" customFormat="1" x14ac:dyDescent="0.2">
      <c r="D10" s="222"/>
      <c r="E10" s="394"/>
      <c r="J10" s="410"/>
      <c r="T10" s="416"/>
      <c r="U10" s="416"/>
      <c r="V10" s="550"/>
      <c r="W10" s="550"/>
      <c r="X10" s="550"/>
      <c r="Y10" s="550"/>
      <c r="Z10" s="550"/>
      <c r="AA10" s="410"/>
      <c r="AB10" s="410"/>
      <c r="AC10" s="410"/>
      <c r="AD10" s="410"/>
      <c r="AE10" s="410"/>
      <c r="AF10" s="410"/>
      <c r="AG10" s="416"/>
      <c r="AH10" s="410"/>
      <c r="AI10" s="410"/>
      <c r="AJ10" s="410"/>
      <c r="AK10" s="410"/>
      <c r="AL10" s="410"/>
      <c r="AM10" s="410"/>
      <c r="AN10" s="410"/>
      <c r="AO10" s="410"/>
      <c r="AP10" s="410"/>
      <c r="AQ10" s="410"/>
      <c r="AR10" s="410"/>
      <c r="AS10" s="410"/>
      <c r="AT10" s="410"/>
      <c r="AU10" s="410"/>
      <c r="AV10" s="410"/>
      <c r="AW10" s="410"/>
      <c r="AX10" s="410"/>
      <c r="AY10" s="410"/>
      <c r="AZ10" s="410"/>
      <c r="BA10" s="410"/>
      <c r="BB10" s="410"/>
      <c r="BC10" s="410"/>
      <c r="BD10" s="550"/>
      <c r="BE10" s="550"/>
      <c r="BF10" s="410"/>
      <c r="BG10" s="410"/>
    </row>
    <row r="11" spans="1:59" s="415" customFormat="1" x14ac:dyDescent="0.2">
      <c r="D11" s="222"/>
      <c r="E11" s="394"/>
      <c r="N11" s="410"/>
      <c r="T11" s="416"/>
      <c r="U11" s="416"/>
      <c r="V11" s="550"/>
      <c r="W11" s="550"/>
      <c r="X11" s="550"/>
      <c r="Y11" s="550"/>
      <c r="Z11" s="550"/>
      <c r="AA11" s="410"/>
      <c r="AB11" s="410"/>
      <c r="AC11" s="410"/>
      <c r="AD11" s="410"/>
      <c r="AE11" s="410"/>
      <c r="AF11" s="410"/>
      <c r="AG11" s="416"/>
      <c r="AH11" s="410"/>
      <c r="AI11" s="410"/>
      <c r="AJ11" s="410"/>
      <c r="AK11" s="410"/>
      <c r="AL11" s="410"/>
      <c r="AM11" s="410"/>
      <c r="AN11" s="410"/>
      <c r="AO11" s="410"/>
      <c r="AP11" s="410"/>
      <c r="AQ11" s="410"/>
      <c r="AR11" s="410"/>
      <c r="AS11" s="410"/>
      <c r="AT11" s="410"/>
      <c r="AU11" s="410"/>
      <c r="AV11" s="410"/>
      <c r="AW11" s="410"/>
      <c r="AX11" s="410"/>
      <c r="AY11" s="410"/>
      <c r="AZ11" s="410"/>
      <c r="BA11" s="410"/>
      <c r="BB11" s="410"/>
      <c r="BC11" s="410"/>
      <c r="BD11" s="550"/>
      <c r="BE11" s="550"/>
      <c r="BF11" s="410"/>
      <c r="BG11" s="410"/>
    </row>
    <row r="15" spans="1:59" x14ac:dyDescent="0.2">
      <c r="X15" s="109"/>
    </row>
  </sheetData>
  <sheetProtection algorithmName="SHA-512" hashValue="GS4fRz1OGYbty10SmMz+kJ9E9jpqLDUCwjBw7WRrUjByzQPKuXLwCFC9nG5X2MePqxUMoZtTC3XXFnN+4I8NyA==" saltValue="tUm/vpvnFBKOJUdBVj4G3Q==" spinCount="100000" sheet="1" objects="1" scenarios="1" selectLockedCells="1"/>
  <sortState xmlns:xlrd2="http://schemas.microsoft.com/office/spreadsheetml/2017/richdata2" ref="C4:BH5">
    <sortCondition ref="G4:G5"/>
  </sortState>
  <mergeCells count="9">
    <mergeCell ref="E1:R1"/>
    <mergeCell ref="BB2:BF2"/>
    <mergeCell ref="AB2:AF2"/>
    <mergeCell ref="D2:T2"/>
    <mergeCell ref="AH2:AM2"/>
    <mergeCell ref="AN2:AS2"/>
    <mergeCell ref="AT2:AW2"/>
    <mergeCell ref="AX2:AY2"/>
    <mergeCell ref="V2:Z2"/>
  </mergeCells>
  <phoneticPr fontId="45"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Home</vt:lpstr>
      <vt:lpstr>% Habitat Score</vt:lpstr>
      <vt:lpstr>Land Use</vt:lpstr>
      <vt:lpstr>General</vt:lpstr>
      <vt:lpstr>Linear</vt:lpstr>
      <vt:lpstr>Area</vt:lpstr>
      <vt:lpstr>Results</vt:lpstr>
      <vt:lpstr>Diagrams of Results</vt:lpstr>
      <vt:lpstr>Summary of Results</vt:lpstr>
      <vt:lpstr>ArableOptions</vt:lpstr>
      <vt:lpstr>Grass</vt:lpstr>
      <vt:lpstr>GrassOptions</vt:lpstr>
      <vt:lpstr>'% Habitat Score'!Print_Area</vt:lpstr>
      <vt:lpstr>'Diagrams of Results'!Print_Area</vt:lpstr>
      <vt:lpstr>Results!Print_Area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Keatley, Paul</dc:creator>
  <cp:lastModifiedBy>Nicola Warden</cp:lastModifiedBy>
  <cp:lastPrinted>2023-02-22T16:26:45Z</cp:lastPrinted>
  <dcterms:created xsi:type="dcterms:W3CDTF">1996-10-14T23:33:28Z</dcterms:created>
  <dcterms:modified xsi:type="dcterms:W3CDTF">2023-05-18T13:10:12Z</dcterms:modified>
</cp:coreProperties>
</file>